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11460" activeTab="3"/>
  </bookViews>
  <sheets>
    <sheet name="2 Licence" sheetId="9" r:id="rId1"/>
    <sheet name="Global" sheetId="2" r:id="rId2"/>
    <sheet name="3 Licence" sheetId="5" r:id="rId3"/>
    <sheet name="Maset I" sheetId="8" r:id="rId4"/>
    <sheet name="Enseignant" sheetId="1" r:id="rId5"/>
    <sheet name="Feuil3" sheetId="3" r:id="rId6"/>
    <sheet name="برنامج مراجعة الاوراق" sheetId="6" state="hidden" r:id="rId7"/>
    <sheet name="Feuil1" sheetId="7" r:id="rId8"/>
  </sheets>
  <definedNames>
    <definedName name="Dimanche_11h00">Global!$J$135:$P$167</definedName>
    <definedName name="Dimanche_13h00">Global!$Q$135:$W$167</definedName>
    <definedName name="Dimanche_14h30">Global!$X$135:$AD$167</definedName>
    <definedName name="Dimanche_8h30">Global!$C$135:$I$167</definedName>
    <definedName name="Jeudi_11h00">Global!$J$69:$P$101</definedName>
    <definedName name="Jeudi_13h00">Global!$Q$69:$W$101</definedName>
    <definedName name="Jeudi_14h30">Global!$X$69:$AD$101</definedName>
    <definedName name="Jeudi_8h30">Global!$C$69:$I$101</definedName>
    <definedName name="Liste_enseignants">Feuil3!$B$3:$B$70</definedName>
    <definedName name="Lundi_11h00">Global!$J$168:$P$200</definedName>
    <definedName name="Lundi_13h00">Global!$Q$168:$W$200</definedName>
    <definedName name="Lundi_14h30">Global!$X$168:$AD$200</definedName>
    <definedName name="Lundi_8h30">Global!$C$168:$I$200</definedName>
    <definedName name="Mardi_1_11h00">Global!$J$3:$P$35</definedName>
    <definedName name="Mardi_1_13h00">Global!$Q$3:$W$35</definedName>
    <definedName name="Mardi_1_14h30">Global!$X$3:$AD$35</definedName>
    <definedName name="Mardi_1_8h30">Global!$C$3:$I$35</definedName>
    <definedName name="Mardi_2_11h00">Global!$J$201:$P$233</definedName>
    <definedName name="Mardi_2_13h00">Global!$Q$201:$W$233</definedName>
    <definedName name="Mardi_2_14h30">Global!$X$201:$AD$233</definedName>
    <definedName name="Mardi_2_8h30">Global!$C$201:$I$233</definedName>
    <definedName name="Mercredi_1_11h00">Global!$J$36:$P$68</definedName>
    <definedName name="Mercredi_1_13h00">Global!$Q$36:$W$68</definedName>
    <definedName name="Mercredi_1_14h30">Global!$X$36:$AD$68</definedName>
    <definedName name="Mercredi_1_8h30">Global!$C$36:$I$68</definedName>
    <definedName name="Mercredi_2_11h00">Global!$J$234:$P$266</definedName>
    <definedName name="Mercredi_2_13h00">Global!$Q$234:$W$266</definedName>
    <definedName name="Mercredi_2_14h30">Global!$X$234:$AD$266</definedName>
    <definedName name="Mercredi_2_8h30">Global!$C$234:$I$266</definedName>
    <definedName name="Nombre_surveillance">Enseignant!$C$9:$C$16,Enseignant!$G$9:$G$16,Enseignant!$K$9:$K$16,Enseignant!$O$9:$O$16</definedName>
    <definedName name="Samedi_11h00">Global!$J$102:$P$134</definedName>
    <definedName name="Samedi_13h00">Global!$Q$102:$W$134</definedName>
    <definedName name="Samedi_14h30">Global!$X$102:$AD$134</definedName>
    <definedName name="Samedi_8h30">Global!$C$102:$I$134</definedName>
    <definedName name="Zone_1">Enseignant!$C$9:$C$16,Enseignant!$G$9:$G$16,Enseignant!$K$9:$K$16,Enseignant!$O$9:$O$16</definedName>
    <definedName name="Zone_2">Enseignant!$G$9:$G$16</definedName>
    <definedName name="Zone_3">Enseignant!$K$9:$K$16</definedName>
    <definedName name="Zone_4">Enseignant!$O$9:$O$16</definedName>
    <definedName name="_xlnm.Print_Area" localSheetId="0">'2 Licence'!$A$1:$K$36</definedName>
    <definedName name="_xlnm.Print_Area" localSheetId="2">'3 Licence'!$A$1:$K$43</definedName>
    <definedName name="_xlnm.Print_Area" localSheetId="4">Enseignant!$B$1:$N$31</definedName>
    <definedName name="_xlnm.Print_Area" localSheetId="3">'Maset I'!$A$1:$K$48</definedName>
    <definedName name="Zone1">Enseignant!$C$9:$C$16</definedName>
  </definedNames>
  <calcPr calcId="124519"/>
</workbook>
</file>

<file path=xl/calcChain.xml><?xml version="1.0" encoding="utf-8"?>
<calcChain xmlns="http://schemas.openxmlformats.org/spreadsheetml/2006/main">
  <c r="D12" i="1"/>
  <c r="D245" i="2"/>
  <c r="D241"/>
  <c r="D240"/>
  <c r="K235"/>
  <c r="K234"/>
  <c r="D179"/>
  <c r="D175"/>
  <c r="D174"/>
  <c r="D146"/>
  <c r="D142"/>
  <c r="D141"/>
  <c r="D113"/>
  <c r="D109"/>
  <c r="D108"/>
  <c r="D81"/>
  <c r="D82"/>
  <c r="D83" s="1"/>
  <c r="D80"/>
  <c r="D76"/>
  <c r="D75"/>
  <c r="K36"/>
  <c r="D47"/>
  <c r="D43"/>
  <c r="D42"/>
  <c r="D9"/>
  <c r="I9"/>
  <c r="D10"/>
  <c r="D11" s="1"/>
  <c r="D12" s="1"/>
  <c r="I10"/>
  <c r="E11"/>
  <c r="E12" s="1"/>
  <c r="I11"/>
  <c r="I12"/>
  <c r="I13"/>
  <c r="D14"/>
  <c r="I14"/>
  <c r="D15"/>
  <c r="D16" s="1"/>
  <c r="E15"/>
  <c r="I15"/>
  <c r="E16"/>
  <c r="I16"/>
  <c r="I17"/>
  <c r="K3"/>
  <c r="Y3"/>
  <c r="K4"/>
  <c r="K5" s="1"/>
  <c r="K6" s="1"/>
  <c r="K7" s="1"/>
  <c r="K8" s="1"/>
  <c r="Y4"/>
  <c r="D5"/>
  <c r="E5"/>
  <c r="L5"/>
  <c r="R5"/>
  <c r="S5"/>
  <c r="Y5"/>
  <c r="Z5"/>
  <c r="D6"/>
  <c r="E6"/>
  <c r="L6"/>
  <c r="L7" s="1"/>
  <c r="L8" s="1"/>
  <c r="R6"/>
  <c r="S6"/>
  <c r="Y6"/>
  <c r="Z6"/>
  <c r="D7"/>
  <c r="E7"/>
  <c r="R7"/>
  <c r="S7"/>
  <c r="Y7"/>
  <c r="Z7"/>
  <c r="D8"/>
  <c r="E8"/>
  <c r="R8"/>
  <c r="S8"/>
  <c r="Y8"/>
  <c r="Z8"/>
  <c r="W9"/>
  <c r="R10"/>
  <c r="R11" s="1"/>
  <c r="R12" s="1"/>
  <c r="R13" s="1"/>
  <c r="W10"/>
  <c r="K11"/>
  <c r="K12" s="1"/>
  <c r="K13" s="1"/>
  <c r="L11"/>
  <c r="S11"/>
  <c r="S12" s="1"/>
  <c r="S13" s="1"/>
  <c r="W11"/>
  <c r="Y11"/>
  <c r="Z11"/>
  <c r="L12"/>
  <c r="W12"/>
  <c r="Y12"/>
  <c r="Z12"/>
  <c r="L13"/>
  <c r="W13"/>
  <c r="Y13"/>
  <c r="Z13"/>
  <c r="W14"/>
  <c r="K15"/>
  <c r="K16" s="1"/>
  <c r="K17" s="1"/>
  <c r="L15"/>
  <c r="L16" s="1"/>
  <c r="L17" s="1"/>
  <c r="R15"/>
  <c r="S15"/>
  <c r="W15"/>
  <c r="Y15"/>
  <c r="Y16" s="1"/>
  <c r="Y17" s="1"/>
  <c r="Z15"/>
  <c r="R16"/>
  <c r="S16"/>
  <c r="W16"/>
  <c r="Z16"/>
  <c r="R17"/>
  <c r="S17"/>
  <c r="W17"/>
  <c r="Z17"/>
  <c r="D18"/>
  <c r="I18"/>
  <c r="W18"/>
  <c r="D19"/>
  <c r="D20" s="1"/>
  <c r="D21" s="1"/>
  <c r="I19"/>
  <c r="W19"/>
  <c r="E20"/>
  <c r="E21" s="1"/>
  <c r="I20"/>
  <c r="K20"/>
  <c r="L20"/>
  <c r="R20"/>
  <c r="R21" s="1"/>
  <c r="R22" s="1"/>
  <c r="S20"/>
  <c r="S21" s="1"/>
  <c r="S22" s="1"/>
  <c r="W20"/>
  <c r="Y20"/>
  <c r="Z20"/>
  <c r="Z21" s="1"/>
  <c r="Z22" s="1"/>
  <c r="I21"/>
  <c r="K21"/>
  <c r="L21"/>
  <c r="W21"/>
  <c r="Y21"/>
  <c r="I22"/>
  <c r="K22"/>
  <c r="L22"/>
  <c r="W22"/>
  <c r="Y22"/>
  <c r="D23"/>
  <c r="I23"/>
  <c r="W23"/>
  <c r="D24"/>
  <c r="E24"/>
  <c r="I24"/>
  <c r="K24"/>
  <c r="K25" s="1"/>
  <c r="K26" s="1"/>
  <c r="L24"/>
  <c r="R24"/>
  <c r="S24"/>
  <c r="S25" s="1"/>
  <c r="S26" s="1"/>
  <c r="W24"/>
  <c r="Y24"/>
  <c r="Z24"/>
  <c r="D25"/>
  <c r="D26" s="1"/>
  <c r="E25"/>
  <c r="E26" s="1"/>
  <c r="I25"/>
  <c r="L25"/>
  <c r="L26" s="1"/>
  <c r="R25"/>
  <c r="R26" s="1"/>
  <c r="W25"/>
  <c r="Y25"/>
  <c r="Y26" s="1"/>
  <c r="Z25"/>
  <c r="Z26" s="1"/>
  <c r="I26"/>
  <c r="W26"/>
  <c r="D29"/>
  <c r="E29"/>
  <c r="K29"/>
  <c r="L29"/>
  <c r="R29"/>
  <c r="S29"/>
  <c r="Y29"/>
  <c r="Z29"/>
  <c r="D30"/>
  <c r="E30"/>
  <c r="K30"/>
  <c r="L30"/>
  <c r="R30"/>
  <c r="S30"/>
  <c r="Y30"/>
  <c r="Z30"/>
  <c r="D31"/>
  <c r="E31"/>
  <c r="K31"/>
  <c r="L31"/>
  <c r="R31"/>
  <c r="S31"/>
  <c r="Y31"/>
  <c r="Z31"/>
  <c r="D33"/>
  <c r="E33"/>
  <c r="K33"/>
  <c r="L33"/>
  <c r="R33"/>
  <c r="S33"/>
  <c r="Y33"/>
  <c r="Z33"/>
  <c r="D34"/>
  <c r="E34"/>
  <c r="K34"/>
  <c r="L34"/>
  <c r="R34"/>
  <c r="S34"/>
  <c r="Y34"/>
  <c r="Z34"/>
  <c r="D35"/>
  <c r="E35"/>
  <c r="K35"/>
  <c r="L35"/>
  <c r="R35"/>
  <c r="S35"/>
  <c r="Y35"/>
  <c r="Z35"/>
  <c r="Z297"/>
  <c r="Z298" s="1"/>
  <c r="Z299" s="1"/>
  <c r="Y297"/>
  <c r="Y298" s="1"/>
  <c r="Y299" s="1"/>
  <c r="S297"/>
  <c r="S298" s="1"/>
  <c r="S299" s="1"/>
  <c r="R297"/>
  <c r="R298" s="1"/>
  <c r="R299" s="1"/>
  <c r="L297"/>
  <c r="L298" s="1"/>
  <c r="L299" s="1"/>
  <c r="K297"/>
  <c r="K298" s="1"/>
  <c r="K299" s="1"/>
  <c r="E297"/>
  <c r="E298" s="1"/>
  <c r="E299" s="1"/>
  <c r="D297"/>
  <c r="D298" s="1"/>
  <c r="D299" s="1"/>
  <c r="Z293"/>
  <c r="Z294" s="1"/>
  <c r="Z295" s="1"/>
  <c r="Y293"/>
  <c r="Y294" s="1"/>
  <c r="Y295" s="1"/>
  <c r="S293"/>
  <c r="S294" s="1"/>
  <c r="S295" s="1"/>
  <c r="R293"/>
  <c r="R294" s="1"/>
  <c r="R295" s="1"/>
  <c r="L293"/>
  <c r="L294" s="1"/>
  <c r="L295" s="1"/>
  <c r="K293"/>
  <c r="K294" s="1"/>
  <c r="K295" s="1"/>
  <c r="E293"/>
  <c r="E294" s="1"/>
  <c r="E295" s="1"/>
  <c r="D293"/>
  <c r="D294" s="1"/>
  <c r="D295" s="1"/>
  <c r="W290"/>
  <c r="I290"/>
  <c r="Z289"/>
  <c r="Z290" s="1"/>
  <c r="W289"/>
  <c r="S289"/>
  <c r="S290" s="1"/>
  <c r="R289"/>
  <c r="R290" s="1"/>
  <c r="I289"/>
  <c r="E289"/>
  <c r="E290" s="1"/>
  <c r="Z288"/>
  <c r="Y288"/>
  <c r="Y289" s="1"/>
  <c r="Y290" s="1"/>
  <c r="W288"/>
  <c r="S288"/>
  <c r="R288"/>
  <c r="L288"/>
  <c r="L289" s="1"/>
  <c r="L290" s="1"/>
  <c r="K288"/>
  <c r="K289" s="1"/>
  <c r="K290" s="1"/>
  <c r="I288"/>
  <c r="E288"/>
  <c r="D288"/>
  <c r="D289" s="1"/>
  <c r="D290" s="1"/>
  <c r="W287"/>
  <c r="I287"/>
  <c r="D287"/>
  <c r="W286"/>
  <c r="I286"/>
  <c r="W285"/>
  <c r="S285"/>
  <c r="S286" s="1"/>
  <c r="K285"/>
  <c r="K286" s="1"/>
  <c r="I285"/>
  <c r="Z284"/>
  <c r="Z285" s="1"/>
  <c r="Z286" s="1"/>
  <c r="Y284"/>
  <c r="Y285" s="1"/>
  <c r="Y286" s="1"/>
  <c r="W284"/>
  <c r="S284"/>
  <c r="R284"/>
  <c r="R285" s="1"/>
  <c r="R286" s="1"/>
  <c r="L284"/>
  <c r="L285" s="1"/>
  <c r="L286" s="1"/>
  <c r="K284"/>
  <c r="I284"/>
  <c r="E284"/>
  <c r="E285" s="1"/>
  <c r="E286" s="1"/>
  <c r="W283"/>
  <c r="I283"/>
  <c r="D283"/>
  <c r="D284" s="1"/>
  <c r="D285" s="1"/>
  <c r="D286" s="1"/>
  <c r="W282"/>
  <c r="I282"/>
  <c r="D282"/>
  <c r="W281"/>
  <c r="I281"/>
  <c r="W280"/>
  <c r="S280"/>
  <c r="S281" s="1"/>
  <c r="K280"/>
  <c r="K281" s="1"/>
  <c r="I280"/>
  <c r="Z279"/>
  <c r="Z280" s="1"/>
  <c r="Z281" s="1"/>
  <c r="Y279"/>
  <c r="Y280" s="1"/>
  <c r="Y281" s="1"/>
  <c r="W279"/>
  <c r="S279"/>
  <c r="R279"/>
  <c r="R280" s="1"/>
  <c r="R281" s="1"/>
  <c r="L279"/>
  <c r="L280" s="1"/>
  <c r="L281" s="1"/>
  <c r="K279"/>
  <c r="I279"/>
  <c r="E279"/>
  <c r="E280" s="1"/>
  <c r="E281" s="1"/>
  <c r="D279"/>
  <c r="D280" s="1"/>
  <c r="D281" s="1"/>
  <c r="W278"/>
  <c r="I278"/>
  <c r="W277"/>
  <c r="I277"/>
  <c r="W276"/>
  <c r="S276"/>
  <c r="S277" s="1"/>
  <c r="K276"/>
  <c r="K277" s="1"/>
  <c r="I276"/>
  <c r="Z275"/>
  <c r="Z276" s="1"/>
  <c r="Z277" s="1"/>
  <c r="Y275"/>
  <c r="Y276" s="1"/>
  <c r="Y277" s="1"/>
  <c r="W275"/>
  <c r="S275"/>
  <c r="R275"/>
  <c r="R276" s="1"/>
  <c r="R277" s="1"/>
  <c r="L275"/>
  <c r="L276" s="1"/>
  <c r="L277" s="1"/>
  <c r="K275"/>
  <c r="I275"/>
  <c r="E275"/>
  <c r="E276" s="1"/>
  <c r="E277" s="1"/>
  <c r="D275"/>
  <c r="D276" s="1"/>
  <c r="D277" s="1"/>
  <c r="W274"/>
  <c r="I274"/>
  <c r="W273"/>
  <c r="I273"/>
  <c r="Z269"/>
  <c r="Z270" s="1"/>
  <c r="Z271" s="1"/>
  <c r="Z272" s="1"/>
  <c r="Y269"/>
  <c r="Y270" s="1"/>
  <c r="Y271" s="1"/>
  <c r="Y272" s="1"/>
  <c r="S269"/>
  <c r="S270" s="1"/>
  <c r="S271" s="1"/>
  <c r="S272" s="1"/>
  <c r="R269"/>
  <c r="R270" s="1"/>
  <c r="R271" s="1"/>
  <c r="R272" s="1"/>
  <c r="L269"/>
  <c r="L270" s="1"/>
  <c r="L271" s="1"/>
  <c r="L272" s="1"/>
  <c r="K269"/>
  <c r="K270" s="1"/>
  <c r="K271" s="1"/>
  <c r="K272" s="1"/>
  <c r="E269"/>
  <c r="E270" s="1"/>
  <c r="E271" s="1"/>
  <c r="E272" s="1"/>
  <c r="D269"/>
  <c r="D270" s="1"/>
  <c r="D271" s="1"/>
  <c r="D272" s="1"/>
  <c r="D212"/>
  <c r="D208"/>
  <c r="D207"/>
  <c r="L9" i="1"/>
  <c r="J10"/>
  <c r="E10"/>
  <c r="M16"/>
  <c r="M15"/>
  <c r="M14"/>
  <c r="M13"/>
  <c r="M12"/>
  <c r="M11"/>
  <c r="M10"/>
  <c r="M9"/>
  <c r="I16"/>
  <c r="I15"/>
  <c r="I14"/>
  <c r="I13"/>
  <c r="I12"/>
  <c r="I11"/>
  <c r="I10"/>
  <c r="E16"/>
  <c r="E15"/>
  <c r="E13"/>
  <c r="E12"/>
  <c r="E11"/>
  <c r="W257" i="2"/>
  <c r="W256"/>
  <c r="W255"/>
  <c r="W254"/>
  <c r="W253"/>
  <c r="W252"/>
  <c r="W251"/>
  <c r="W250"/>
  <c r="W249"/>
  <c r="W248"/>
  <c r="W247"/>
  <c r="W246"/>
  <c r="W245"/>
  <c r="W244"/>
  <c r="W243"/>
  <c r="W242"/>
  <c r="W241"/>
  <c r="W240"/>
  <c r="W224"/>
  <c r="W223"/>
  <c r="W222"/>
  <c r="W221"/>
  <c r="W220"/>
  <c r="W219"/>
  <c r="W218"/>
  <c r="W217"/>
  <c r="W216"/>
  <c r="W215"/>
  <c r="W214"/>
  <c r="W213"/>
  <c r="W212"/>
  <c r="W211"/>
  <c r="W210"/>
  <c r="W209"/>
  <c r="W208"/>
  <c r="W207"/>
  <c r="W191"/>
  <c r="W190"/>
  <c r="W189"/>
  <c r="W188"/>
  <c r="W187"/>
  <c r="W186"/>
  <c r="W185"/>
  <c r="W184"/>
  <c r="W183"/>
  <c r="W182"/>
  <c r="W181"/>
  <c r="W180"/>
  <c r="W179"/>
  <c r="W178"/>
  <c r="W177"/>
  <c r="W176"/>
  <c r="W175"/>
  <c r="W174"/>
  <c r="W158"/>
  <c r="W157"/>
  <c r="W156"/>
  <c r="W155"/>
  <c r="W154"/>
  <c r="W153"/>
  <c r="W152"/>
  <c r="W151"/>
  <c r="W150"/>
  <c r="W149"/>
  <c r="W148"/>
  <c r="W147"/>
  <c r="W146"/>
  <c r="W145"/>
  <c r="W144"/>
  <c r="W143"/>
  <c r="W142"/>
  <c r="W141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57"/>
  <c r="I58"/>
  <c r="I59"/>
  <c r="I56"/>
  <c r="I53"/>
  <c r="I54"/>
  <c r="I55"/>
  <c r="I52"/>
  <c r="I51"/>
  <c r="I48"/>
  <c r="I49"/>
  <c r="I50"/>
  <c r="I47"/>
  <c r="I44"/>
  <c r="I45"/>
  <c r="I46"/>
  <c r="I43"/>
  <c r="I42"/>
  <c r="R85" l="1"/>
  <c r="R150"/>
  <c r="D9" i="1"/>
  <c r="D254" i="2" l="1"/>
  <c r="D250"/>
  <c r="D249"/>
  <c r="D221"/>
  <c r="D217"/>
  <c r="D216"/>
  <c r="D188"/>
  <c r="D184"/>
  <c r="D183"/>
  <c r="D155"/>
  <c r="D151"/>
  <c r="D150"/>
  <c r="D122"/>
  <c r="D118"/>
  <c r="D117"/>
  <c r="D89"/>
  <c r="D85"/>
  <c r="D84"/>
  <c r="D56"/>
  <c r="D52"/>
  <c r="D51"/>
  <c r="K202"/>
  <c r="K201"/>
  <c r="K169"/>
  <c r="K168"/>
  <c r="K136"/>
  <c r="K135"/>
  <c r="K103"/>
  <c r="K102"/>
  <c r="K70"/>
  <c r="K69"/>
  <c r="K37"/>
  <c r="R16" i="1" l="1"/>
  <c r="P16"/>
  <c r="O16"/>
  <c r="N16"/>
  <c r="L16"/>
  <c r="K16"/>
  <c r="J16"/>
  <c r="H16"/>
  <c r="G16"/>
  <c r="F16"/>
  <c r="D16"/>
  <c r="R15"/>
  <c r="P15"/>
  <c r="O15"/>
  <c r="N15"/>
  <c r="L15"/>
  <c r="K15"/>
  <c r="J15"/>
  <c r="H15"/>
  <c r="G15"/>
  <c r="F15"/>
  <c r="D15"/>
  <c r="C15"/>
  <c r="R14"/>
  <c r="P14"/>
  <c r="O14"/>
  <c r="N14"/>
  <c r="L14"/>
  <c r="K14"/>
  <c r="J14"/>
  <c r="H14"/>
  <c r="G14"/>
  <c r="F14"/>
  <c r="D14"/>
  <c r="C14"/>
  <c r="R13"/>
  <c r="P13"/>
  <c r="O13"/>
  <c r="N13"/>
  <c r="L13"/>
  <c r="K13"/>
  <c r="J13"/>
  <c r="H13"/>
  <c r="G13"/>
  <c r="F13"/>
  <c r="D13"/>
  <c r="C13"/>
  <c r="R12"/>
  <c r="P12"/>
  <c r="O12"/>
  <c r="N12"/>
  <c r="L12"/>
  <c r="K12"/>
  <c r="J12"/>
  <c r="H12"/>
  <c r="G12"/>
  <c r="F12"/>
  <c r="C12"/>
  <c r="R11"/>
  <c r="P11"/>
  <c r="O11"/>
  <c r="N11"/>
  <c r="L11"/>
  <c r="K11"/>
  <c r="J11"/>
  <c r="H11"/>
  <c r="G11"/>
  <c r="F11"/>
  <c r="D11"/>
  <c r="C11"/>
  <c r="R10"/>
  <c r="P10"/>
  <c r="O10"/>
  <c r="N10"/>
  <c r="L10"/>
  <c r="K10"/>
  <c r="H10"/>
  <c r="G10"/>
  <c r="F10"/>
  <c r="D10"/>
  <c r="R9"/>
  <c r="P9"/>
  <c r="O9"/>
  <c r="N9"/>
  <c r="K9"/>
  <c r="J9"/>
  <c r="H9"/>
  <c r="F9"/>
  <c r="AF10" l="1"/>
  <c r="AE10"/>
  <c r="Z264" i="2"/>
  <c r="Z265" s="1"/>
  <c r="Z266" s="1"/>
  <c r="Y264"/>
  <c r="Y265" s="1"/>
  <c r="Y266" s="1"/>
  <c r="S264"/>
  <c r="S265" s="1"/>
  <c r="S266" s="1"/>
  <c r="R264"/>
  <c r="R265" s="1"/>
  <c r="R266" s="1"/>
  <c r="L264"/>
  <c r="L265" s="1"/>
  <c r="L266" s="1"/>
  <c r="K264"/>
  <c r="K265" s="1"/>
  <c r="K266" s="1"/>
  <c r="E264"/>
  <c r="E265" s="1"/>
  <c r="E266" s="1"/>
  <c r="D264"/>
  <c r="D265" s="1"/>
  <c r="D266" s="1"/>
  <c r="Z260"/>
  <c r="Z261" s="1"/>
  <c r="Z262" s="1"/>
  <c r="Y260"/>
  <c r="Y261" s="1"/>
  <c r="Y262" s="1"/>
  <c r="S260"/>
  <c r="S261" s="1"/>
  <c r="S262" s="1"/>
  <c r="R260"/>
  <c r="R261" s="1"/>
  <c r="R262" s="1"/>
  <c r="L260"/>
  <c r="L261" s="1"/>
  <c r="L262" s="1"/>
  <c r="K260"/>
  <c r="K261" s="1"/>
  <c r="K262" s="1"/>
  <c r="E260"/>
  <c r="E261" s="1"/>
  <c r="E262" s="1"/>
  <c r="D260"/>
  <c r="D261" s="1"/>
  <c r="D262" s="1"/>
  <c r="Z255"/>
  <c r="Z256" s="1"/>
  <c r="Z257" s="1"/>
  <c r="Y255"/>
  <c r="Y256" s="1"/>
  <c r="Y257" s="1"/>
  <c r="S255"/>
  <c r="S256" s="1"/>
  <c r="S257" s="1"/>
  <c r="R255"/>
  <c r="R256" s="1"/>
  <c r="R257" s="1"/>
  <c r="L255"/>
  <c r="L256" s="1"/>
  <c r="L257" s="1"/>
  <c r="K255"/>
  <c r="K256" s="1"/>
  <c r="K257" s="1"/>
  <c r="E255"/>
  <c r="E256" s="1"/>
  <c r="E257" s="1"/>
  <c r="D255"/>
  <c r="D256" s="1"/>
  <c r="D257" s="1"/>
  <c r="C16" i="1" s="1"/>
  <c r="Z251" i="2"/>
  <c r="Z252" s="1"/>
  <c r="Z253" s="1"/>
  <c r="Y251"/>
  <c r="Y252" s="1"/>
  <c r="Y253" s="1"/>
  <c r="S251"/>
  <c r="S252" s="1"/>
  <c r="S253" s="1"/>
  <c r="R251"/>
  <c r="R252" s="1"/>
  <c r="R253" s="1"/>
  <c r="L251"/>
  <c r="L252" s="1"/>
  <c r="L253" s="1"/>
  <c r="K251"/>
  <c r="K252" s="1"/>
  <c r="K253" s="1"/>
  <c r="E251"/>
  <c r="E252" s="1"/>
  <c r="E253" s="1"/>
  <c r="D251"/>
  <c r="D252" s="1"/>
  <c r="D253" s="1"/>
  <c r="Z246"/>
  <c r="Z247" s="1"/>
  <c r="Z248" s="1"/>
  <c r="Y246"/>
  <c r="Y247" s="1"/>
  <c r="Y248" s="1"/>
  <c r="S246"/>
  <c r="S247" s="1"/>
  <c r="S248" s="1"/>
  <c r="R246"/>
  <c r="R247" s="1"/>
  <c r="R248" s="1"/>
  <c r="L246"/>
  <c r="L247" s="1"/>
  <c r="L248" s="1"/>
  <c r="K246"/>
  <c r="K247" s="1"/>
  <c r="K248" s="1"/>
  <c r="E246"/>
  <c r="E247" s="1"/>
  <c r="E248" s="1"/>
  <c r="D246"/>
  <c r="D247" s="1"/>
  <c r="D248" s="1"/>
  <c r="Z242"/>
  <c r="Z243" s="1"/>
  <c r="Z244" s="1"/>
  <c r="Y242"/>
  <c r="Y243" s="1"/>
  <c r="Y244" s="1"/>
  <c r="S242"/>
  <c r="S243" s="1"/>
  <c r="S244" s="1"/>
  <c r="R242"/>
  <c r="R243" s="1"/>
  <c r="R244" s="1"/>
  <c r="L242"/>
  <c r="L243" s="1"/>
  <c r="L244" s="1"/>
  <c r="K242"/>
  <c r="K243" s="1"/>
  <c r="K244" s="1"/>
  <c r="E242"/>
  <c r="E243" s="1"/>
  <c r="E244" s="1"/>
  <c r="D242"/>
  <c r="D243" s="1"/>
  <c r="D244" s="1"/>
  <c r="Z236"/>
  <c r="Z237" s="1"/>
  <c r="Z238" s="1"/>
  <c r="Z239" s="1"/>
  <c r="Y236"/>
  <c r="Y237" s="1"/>
  <c r="Y238" s="1"/>
  <c r="Y239" s="1"/>
  <c r="S236"/>
  <c r="S237" s="1"/>
  <c r="S238" s="1"/>
  <c r="S239" s="1"/>
  <c r="R236"/>
  <c r="R237" s="1"/>
  <c r="R238" s="1"/>
  <c r="R239" s="1"/>
  <c r="L236"/>
  <c r="L237" s="1"/>
  <c r="L238" s="1"/>
  <c r="L239" s="1"/>
  <c r="K236"/>
  <c r="K237" s="1"/>
  <c r="K238" s="1"/>
  <c r="K239" s="1"/>
  <c r="E236"/>
  <c r="E237" s="1"/>
  <c r="E238" s="1"/>
  <c r="E239" s="1"/>
  <c r="D236"/>
  <c r="D237" s="1"/>
  <c r="D238" s="1"/>
  <c r="D239" s="1"/>
  <c r="Z231"/>
  <c r="Z232" s="1"/>
  <c r="Z233" s="1"/>
  <c r="Y231"/>
  <c r="Y232" s="1"/>
  <c r="Y233" s="1"/>
  <c r="S231"/>
  <c r="S232" s="1"/>
  <c r="S233" s="1"/>
  <c r="R231"/>
  <c r="R232" s="1"/>
  <c r="R233" s="1"/>
  <c r="L231"/>
  <c r="L232" s="1"/>
  <c r="L233" s="1"/>
  <c r="K231"/>
  <c r="K232" s="1"/>
  <c r="K233" s="1"/>
  <c r="E231"/>
  <c r="E232" s="1"/>
  <c r="E233" s="1"/>
  <c r="D231"/>
  <c r="D232" s="1"/>
  <c r="D233" s="1"/>
  <c r="Z227"/>
  <c r="Z228" s="1"/>
  <c r="Z229" s="1"/>
  <c r="Y227"/>
  <c r="Y228" s="1"/>
  <c r="Y229" s="1"/>
  <c r="S227"/>
  <c r="S228" s="1"/>
  <c r="S229" s="1"/>
  <c r="R227"/>
  <c r="R228" s="1"/>
  <c r="R229" s="1"/>
  <c r="L227"/>
  <c r="L228" s="1"/>
  <c r="L229" s="1"/>
  <c r="K227"/>
  <c r="K228" s="1"/>
  <c r="K229" s="1"/>
  <c r="E227"/>
  <c r="E228" s="1"/>
  <c r="E229" s="1"/>
  <c r="D227"/>
  <c r="D228" s="1"/>
  <c r="D229" s="1"/>
  <c r="Z222"/>
  <c r="Z223" s="1"/>
  <c r="Z224" s="1"/>
  <c r="Y222"/>
  <c r="Y223" s="1"/>
  <c r="Y224" s="1"/>
  <c r="S222"/>
  <c r="S223" s="1"/>
  <c r="S224" s="1"/>
  <c r="R222"/>
  <c r="R223" s="1"/>
  <c r="R224" s="1"/>
  <c r="L222"/>
  <c r="L223" s="1"/>
  <c r="L224" s="1"/>
  <c r="K222"/>
  <c r="K223" s="1"/>
  <c r="K224" s="1"/>
  <c r="E222"/>
  <c r="E223" s="1"/>
  <c r="E224" s="1"/>
  <c r="D222"/>
  <c r="D223" s="1"/>
  <c r="D224" s="1"/>
  <c r="Z218"/>
  <c r="Z219" s="1"/>
  <c r="Z220" s="1"/>
  <c r="Y218"/>
  <c r="Y219" s="1"/>
  <c r="Y220" s="1"/>
  <c r="S218"/>
  <c r="S219" s="1"/>
  <c r="S220" s="1"/>
  <c r="R218"/>
  <c r="R219" s="1"/>
  <c r="R220" s="1"/>
  <c r="L218"/>
  <c r="L219" s="1"/>
  <c r="L220" s="1"/>
  <c r="K218"/>
  <c r="K219" s="1"/>
  <c r="K220" s="1"/>
  <c r="E218"/>
  <c r="E219" s="1"/>
  <c r="E220" s="1"/>
  <c r="D218"/>
  <c r="D219" s="1"/>
  <c r="D220" s="1"/>
  <c r="Z213"/>
  <c r="Z214" s="1"/>
  <c r="Z215" s="1"/>
  <c r="Y213"/>
  <c r="Y214" s="1"/>
  <c r="Y215" s="1"/>
  <c r="S213"/>
  <c r="S214" s="1"/>
  <c r="S215" s="1"/>
  <c r="R213"/>
  <c r="R214" s="1"/>
  <c r="R215" s="1"/>
  <c r="L213"/>
  <c r="L214" s="1"/>
  <c r="L215" s="1"/>
  <c r="K213"/>
  <c r="K214" s="1"/>
  <c r="K215" s="1"/>
  <c r="E213"/>
  <c r="D213"/>
  <c r="Z209"/>
  <c r="Z210" s="1"/>
  <c r="Z211" s="1"/>
  <c r="Y209"/>
  <c r="Y210" s="1"/>
  <c r="Y211" s="1"/>
  <c r="S209"/>
  <c r="S210" s="1"/>
  <c r="S211" s="1"/>
  <c r="R209"/>
  <c r="R210" s="1"/>
  <c r="R211" s="1"/>
  <c r="L209"/>
  <c r="L210" s="1"/>
  <c r="L211" s="1"/>
  <c r="K209"/>
  <c r="K210" s="1"/>
  <c r="K211" s="1"/>
  <c r="E209"/>
  <c r="E210" s="1"/>
  <c r="E211" s="1"/>
  <c r="D209"/>
  <c r="D210" s="1"/>
  <c r="D211" s="1"/>
  <c r="Z203"/>
  <c r="Z204" s="1"/>
  <c r="Z205" s="1"/>
  <c r="Z206" s="1"/>
  <c r="Y203"/>
  <c r="Y204" s="1"/>
  <c r="Y205" s="1"/>
  <c r="Y206" s="1"/>
  <c r="S203"/>
  <c r="S204" s="1"/>
  <c r="S205" s="1"/>
  <c r="S206" s="1"/>
  <c r="R203"/>
  <c r="R204" s="1"/>
  <c r="R205" s="1"/>
  <c r="R206" s="1"/>
  <c r="L203"/>
  <c r="L204" s="1"/>
  <c r="L205" s="1"/>
  <c r="L206" s="1"/>
  <c r="K203"/>
  <c r="K204" s="1"/>
  <c r="K205" s="1"/>
  <c r="K206" s="1"/>
  <c r="E203"/>
  <c r="E204" s="1"/>
  <c r="E205" s="1"/>
  <c r="E206" s="1"/>
  <c r="D203"/>
  <c r="D204" s="1"/>
  <c r="D205" s="1"/>
  <c r="D206" s="1"/>
  <c r="Z198"/>
  <c r="Z199" s="1"/>
  <c r="Z200" s="1"/>
  <c r="Y198"/>
  <c r="Y199" s="1"/>
  <c r="Y200" s="1"/>
  <c r="S198"/>
  <c r="S199" s="1"/>
  <c r="S200" s="1"/>
  <c r="R198"/>
  <c r="R199" s="1"/>
  <c r="R200" s="1"/>
  <c r="L198"/>
  <c r="L199" s="1"/>
  <c r="L200" s="1"/>
  <c r="K198"/>
  <c r="K199" s="1"/>
  <c r="K200" s="1"/>
  <c r="E198"/>
  <c r="E199" s="1"/>
  <c r="E200" s="1"/>
  <c r="D198"/>
  <c r="D199" s="1"/>
  <c r="D200" s="1"/>
  <c r="Z194"/>
  <c r="Z195" s="1"/>
  <c r="Z196" s="1"/>
  <c r="Y194"/>
  <c r="Y195" s="1"/>
  <c r="Y196" s="1"/>
  <c r="S194"/>
  <c r="S195" s="1"/>
  <c r="S196" s="1"/>
  <c r="R194"/>
  <c r="R195" s="1"/>
  <c r="R196" s="1"/>
  <c r="L194"/>
  <c r="L195" s="1"/>
  <c r="L196" s="1"/>
  <c r="K194"/>
  <c r="K195" s="1"/>
  <c r="K196" s="1"/>
  <c r="E194"/>
  <c r="E195" s="1"/>
  <c r="E196" s="1"/>
  <c r="D194"/>
  <c r="D195" s="1"/>
  <c r="D196" s="1"/>
  <c r="Z189"/>
  <c r="Z190" s="1"/>
  <c r="Z191" s="1"/>
  <c r="Y189"/>
  <c r="Y190" s="1"/>
  <c r="Y191" s="1"/>
  <c r="S189"/>
  <c r="S190" s="1"/>
  <c r="S191" s="1"/>
  <c r="R189"/>
  <c r="R190" s="1"/>
  <c r="R191" s="1"/>
  <c r="L189"/>
  <c r="L190" s="1"/>
  <c r="L191" s="1"/>
  <c r="K189"/>
  <c r="K190" s="1"/>
  <c r="K191" s="1"/>
  <c r="E189"/>
  <c r="E190" s="1"/>
  <c r="E191" s="1"/>
  <c r="E14" i="1" s="1"/>
  <c r="D189" i="2"/>
  <c r="D190" s="1"/>
  <c r="D191" s="1"/>
  <c r="Z185"/>
  <c r="Z186" s="1"/>
  <c r="Z187" s="1"/>
  <c r="Y185"/>
  <c r="Y186" s="1"/>
  <c r="Y187" s="1"/>
  <c r="S185"/>
  <c r="S186" s="1"/>
  <c r="S187" s="1"/>
  <c r="R185"/>
  <c r="R186" s="1"/>
  <c r="R187" s="1"/>
  <c r="L185"/>
  <c r="L186" s="1"/>
  <c r="L187" s="1"/>
  <c r="K185"/>
  <c r="K186" s="1"/>
  <c r="K187" s="1"/>
  <c r="E185"/>
  <c r="E186" s="1"/>
  <c r="E187" s="1"/>
  <c r="D185"/>
  <c r="D186" s="1"/>
  <c r="D187" s="1"/>
  <c r="Z180"/>
  <c r="Z181" s="1"/>
  <c r="Z182" s="1"/>
  <c r="Y180"/>
  <c r="Y181" s="1"/>
  <c r="Y182" s="1"/>
  <c r="S180"/>
  <c r="S181" s="1"/>
  <c r="S182" s="1"/>
  <c r="R180"/>
  <c r="R181" s="1"/>
  <c r="R182" s="1"/>
  <c r="L180"/>
  <c r="L181" s="1"/>
  <c r="L182" s="1"/>
  <c r="K180"/>
  <c r="K181" s="1"/>
  <c r="K182" s="1"/>
  <c r="E180"/>
  <c r="E181" s="1"/>
  <c r="E182" s="1"/>
  <c r="D180"/>
  <c r="D181" s="1"/>
  <c r="D182" s="1"/>
  <c r="Z176"/>
  <c r="Z177" s="1"/>
  <c r="Z178" s="1"/>
  <c r="Y176"/>
  <c r="Y177" s="1"/>
  <c r="Y178" s="1"/>
  <c r="S176"/>
  <c r="S177" s="1"/>
  <c r="S178" s="1"/>
  <c r="R176"/>
  <c r="R177" s="1"/>
  <c r="R178" s="1"/>
  <c r="L176"/>
  <c r="L177" s="1"/>
  <c r="L178" s="1"/>
  <c r="K176"/>
  <c r="K177" s="1"/>
  <c r="K178" s="1"/>
  <c r="E176"/>
  <c r="E177" s="1"/>
  <c r="E178" s="1"/>
  <c r="D176"/>
  <c r="D177" s="1"/>
  <c r="D178" s="1"/>
  <c r="Z170"/>
  <c r="Z171" s="1"/>
  <c r="Z172" s="1"/>
  <c r="Z173" s="1"/>
  <c r="Y170"/>
  <c r="Y171" s="1"/>
  <c r="Y172" s="1"/>
  <c r="Y173" s="1"/>
  <c r="S170"/>
  <c r="S171" s="1"/>
  <c r="S172" s="1"/>
  <c r="S173" s="1"/>
  <c r="R170"/>
  <c r="R171" s="1"/>
  <c r="R172" s="1"/>
  <c r="R173" s="1"/>
  <c r="L170"/>
  <c r="L171" s="1"/>
  <c r="L172" s="1"/>
  <c r="L173" s="1"/>
  <c r="K170"/>
  <c r="K171" s="1"/>
  <c r="K172" s="1"/>
  <c r="K173" s="1"/>
  <c r="E170"/>
  <c r="E171" s="1"/>
  <c r="E172" s="1"/>
  <c r="E173" s="1"/>
  <c r="D170"/>
  <c r="D171" s="1"/>
  <c r="D172" s="1"/>
  <c r="D173" s="1"/>
  <c r="Z165"/>
  <c r="Z166" s="1"/>
  <c r="Z167" s="1"/>
  <c r="Y165"/>
  <c r="Y166" s="1"/>
  <c r="Y167" s="1"/>
  <c r="S165"/>
  <c r="S166" s="1"/>
  <c r="S167" s="1"/>
  <c r="R165"/>
  <c r="R166" s="1"/>
  <c r="R167" s="1"/>
  <c r="L165"/>
  <c r="L166" s="1"/>
  <c r="L167" s="1"/>
  <c r="K165"/>
  <c r="K166" s="1"/>
  <c r="K167" s="1"/>
  <c r="E165"/>
  <c r="E166" s="1"/>
  <c r="E167" s="1"/>
  <c r="D165"/>
  <c r="D166" s="1"/>
  <c r="D167" s="1"/>
  <c r="Z161"/>
  <c r="Z162" s="1"/>
  <c r="Z163" s="1"/>
  <c r="Y161"/>
  <c r="Y162" s="1"/>
  <c r="Y163" s="1"/>
  <c r="S161"/>
  <c r="S162" s="1"/>
  <c r="S163" s="1"/>
  <c r="R161"/>
  <c r="R162" s="1"/>
  <c r="R163" s="1"/>
  <c r="L161"/>
  <c r="L162" s="1"/>
  <c r="L163" s="1"/>
  <c r="K161"/>
  <c r="K162" s="1"/>
  <c r="K163" s="1"/>
  <c r="E161"/>
  <c r="E162" s="1"/>
  <c r="E163" s="1"/>
  <c r="D161"/>
  <c r="D162" s="1"/>
  <c r="D163" s="1"/>
  <c r="Z156"/>
  <c r="Z157" s="1"/>
  <c r="Z158" s="1"/>
  <c r="Y156"/>
  <c r="Y157" s="1"/>
  <c r="Y158" s="1"/>
  <c r="S156"/>
  <c r="S157" s="1"/>
  <c r="S158" s="1"/>
  <c r="R156"/>
  <c r="R157" s="1"/>
  <c r="R158" s="1"/>
  <c r="L156"/>
  <c r="L157" s="1"/>
  <c r="L158" s="1"/>
  <c r="K156"/>
  <c r="K157" s="1"/>
  <c r="K158" s="1"/>
  <c r="E156"/>
  <c r="E157" s="1"/>
  <c r="E158" s="1"/>
  <c r="D156"/>
  <c r="D157" s="1"/>
  <c r="D158" s="1"/>
  <c r="Z152"/>
  <c r="Z153" s="1"/>
  <c r="Z154" s="1"/>
  <c r="Y152"/>
  <c r="Y153" s="1"/>
  <c r="Y154" s="1"/>
  <c r="S152"/>
  <c r="S153" s="1"/>
  <c r="S154" s="1"/>
  <c r="R152"/>
  <c r="R153" s="1"/>
  <c r="R154" s="1"/>
  <c r="L152"/>
  <c r="L153" s="1"/>
  <c r="L154" s="1"/>
  <c r="K152"/>
  <c r="K153" s="1"/>
  <c r="K154" s="1"/>
  <c r="E152"/>
  <c r="E153" s="1"/>
  <c r="E154" s="1"/>
  <c r="D152"/>
  <c r="D153" s="1"/>
  <c r="D154" s="1"/>
  <c r="Z147"/>
  <c r="Z148" s="1"/>
  <c r="Z149" s="1"/>
  <c r="Y147"/>
  <c r="Y148" s="1"/>
  <c r="Y149" s="1"/>
  <c r="S147"/>
  <c r="S148" s="1"/>
  <c r="S149" s="1"/>
  <c r="R147"/>
  <c r="R148" s="1"/>
  <c r="R149" s="1"/>
  <c r="L147"/>
  <c r="L148" s="1"/>
  <c r="L149" s="1"/>
  <c r="K147"/>
  <c r="K148" s="1"/>
  <c r="K149" s="1"/>
  <c r="E147"/>
  <c r="E148" s="1"/>
  <c r="E149" s="1"/>
  <c r="D147"/>
  <c r="D148" s="1"/>
  <c r="D149" s="1"/>
  <c r="Z143"/>
  <c r="Z144" s="1"/>
  <c r="Z145" s="1"/>
  <c r="Y143"/>
  <c r="Y144" s="1"/>
  <c r="Y145" s="1"/>
  <c r="S143"/>
  <c r="S144" s="1"/>
  <c r="S145" s="1"/>
  <c r="R143"/>
  <c r="R144" s="1"/>
  <c r="R145" s="1"/>
  <c r="L143"/>
  <c r="L144" s="1"/>
  <c r="L145" s="1"/>
  <c r="K143"/>
  <c r="K144" s="1"/>
  <c r="K145" s="1"/>
  <c r="E143"/>
  <c r="E144" s="1"/>
  <c r="E145" s="1"/>
  <c r="D143"/>
  <c r="D144" s="1"/>
  <c r="D145" s="1"/>
  <c r="Z137"/>
  <c r="Z138" s="1"/>
  <c r="Z139" s="1"/>
  <c r="Z140" s="1"/>
  <c r="Y137"/>
  <c r="Y138" s="1"/>
  <c r="Y139" s="1"/>
  <c r="Y140" s="1"/>
  <c r="S137"/>
  <c r="S138" s="1"/>
  <c r="S139" s="1"/>
  <c r="S140" s="1"/>
  <c r="R137"/>
  <c r="R138" s="1"/>
  <c r="R139" s="1"/>
  <c r="R140" s="1"/>
  <c r="L137"/>
  <c r="L138" s="1"/>
  <c r="L139" s="1"/>
  <c r="L140" s="1"/>
  <c r="K137"/>
  <c r="K138" s="1"/>
  <c r="K139" s="1"/>
  <c r="K140" s="1"/>
  <c r="E137"/>
  <c r="E138" s="1"/>
  <c r="E139" s="1"/>
  <c r="E140" s="1"/>
  <c r="D137"/>
  <c r="D138" s="1"/>
  <c r="D139" s="1"/>
  <c r="D140" s="1"/>
  <c r="Z132"/>
  <c r="Z133" s="1"/>
  <c r="Z134" s="1"/>
  <c r="Y132"/>
  <c r="Y133" s="1"/>
  <c r="Y134" s="1"/>
  <c r="S132"/>
  <c r="S133" s="1"/>
  <c r="S134" s="1"/>
  <c r="R132"/>
  <c r="R133" s="1"/>
  <c r="R134" s="1"/>
  <c r="L132"/>
  <c r="L133" s="1"/>
  <c r="L134" s="1"/>
  <c r="K132"/>
  <c r="K133" s="1"/>
  <c r="K134" s="1"/>
  <c r="E132"/>
  <c r="E133" s="1"/>
  <c r="E134" s="1"/>
  <c r="D132"/>
  <c r="D133" s="1"/>
  <c r="D134" s="1"/>
  <c r="Z128"/>
  <c r="Z129" s="1"/>
  <c r="Z130" s="1"/>
  <c r="Y128"/>
  <c r="Y129" s="1"/>
  <c r="Y130" s="1"/>
  <c r="S128"/>
  <c r="S129" s="1"/>
  <c r="S130" s="1"/>
  <c r="R128"/>
  <c r="R129" s="1"/>
  <c r="R130" s="1"/>
  <c r="L128"/>
  <c r="L129" s="1"/>
  <c r="L130" s="1"/>
  <c r="K128"/>
  <c r="K129" s="1"/>
  <c r="K130" s="1"/>
  <c r="E128"/>
  <c r="E129" s="1"/>
  <c r="E130" s="1"/>
  <c r="D128"/>
  <c r="D129" s="1"/>
  <c r="D130" s="1"/>
  <c r="Z123"/>
  <c r="Z124" s="1"/>
  <c r="Z125" s="1"/>
  <c r="Y123"/>
  <c r="Y124" s="1"/>
  <c r="Y125" s="1"/>
  <c r="S123"/>
  <c r="S124" s="1"/>
  <c r="S125" s="1"/>
  <c r="R123"/>
  <c r="R124" s="1"/>
  <c r="R125" s="1"/>
  <c r="L123"/>
  <c r="L124" s="1"/>
  <c r="L125" s="1"/>
  <c r="K123"/>
  <c r="K124" s="1"/>
  <c r="K125" s="1"/>
  <c r="E123"/>
  <c r="E124" s="1"/>
  <c r="E125" s="1"/>
  <c r="D123"/>
  <c r="D124" s="1"/>
  <c r="D125" s="1"/>
  <c r="Z119"/>
  <c r="Z120" s="1"/>
  <c r="Z121" s="1"/>
  <c r="Y119"/>
  <c r="Y120" s="1"/>
  <c r="Y121" s="1"/>
  <c r="S119"/>
  <c r="S120" s="1"/>
  <c r="S121" s="1"/>
  <c r="R119"/>
  <c r="R120" s="1"/>
  <c r="R121" s="1"/>
  <c r="L119"/>
  <c r="L120" s="1"/>
  <c r="L121" s="1"/>
  <c r="K119"/>
  <c r="K120" s="1"/>
  <c r="K121" s="1"/>
  <c r="E119"/>
  <c r="E120" s="1"/>
  <c r="E121" s="1"/>
  <c r="D119"/>
  <c r="D120" s="1"/>
  <c r="D121" s="1"/>
  <c r="Z114"/>
  <c r="Z115" s="1"/>
  <c r="Z116" s="1"/>
  <c r="Y114"/>
  <c r="Y115" s="1"/>
  <c r="Y116" s="1"/>
  <c r="S114"/>
  <c r="S115" s="1"/>
  <c r="S116" s="1"/>
  <c r="R114"/>
  <c r="R115" s="1"/>
  <c r="R116" s="1"/>
  <c r="L114"/>
  <c r="L115" s="1"/>
  <c r="L116" s="1"/>
  <c r="K114"/>
  <c r="K115" s="1"/>
  <c r="K116" s="1"/>
  <c r="E114"/>
  <c r="E115" s="1"/>
  <c r="E116" s="1"/>
  <c r="D114"/>
  <c r="D115" s="1"/>
  <c r="D116" s="1"/>
  <c r="Z110"/>
  <c r="Z111" s="1"/>
  <c r="Z112" s="1"/>
  <c r="Y110"/>
  <c r="Y111" s="1"/>
  <c r="Y112" s="1"/>
  <c r="S110"/>
  <c r="S111" s="1"/>
  <c r="S112" s="1"/>
  <c r="R110"/>
  <c r="R111" s="1"/>
  <c r="R112" s="1"/>
  <c r="L110"/>
  <c r="L111" s="1"/>
  <c r="L112" s="1"/>
  <c r="K110"/>
  <c r="K111" s="1"/>
  <c r="K112" s="1"/>
  <c r="E110"/>
  <c r="E111" s="1"/>
  <c r="E112" s="1"/>
  <c r="D110"/>
  <c r="D111" s="1"/>
  <c r="D112" s="1"/>
  <c r="Z104"/>
  <c r="Z105" s="1"/>
  <c r="Z106" s="1"/>
  <c r="Z107" s="1"/>
  <c r="Y104"/>
  <c r="Y105" s="1"/>
  <c r="Y106" s="1"/>
  <c r="Y107" s="1"/>
  <c r="S104"/>
  <c r="S105" s="1"/>
  <c r="S106" s="1"/>
  <c r="S107" s="1"/>
  <c r="R104"/>
  <c r="R105" s="1"/>
  <c r="R106" s="1"/>
  <c r="R107" s="1"/>
  <c r="L104"/>
  <c r="L105" s="1"/>
  <c r="L106" s="1"/>
  <c r="L107" s="1"/>
  <c r="K104"/>
  <c r="K105" s="1"/>
  <c r="K106" s="1"/>
  <c r="K107" s="1"/>
  <c r="E104"/>
  <c r="E105" s="1"/>
  <c r="E106" s="1"/>
  <c r="E107" s="1"/>
  <c r="D104"/>
  <c r="D105" s="1"/>
  <c r="D106" s="1"/>
  <c r="D107" s="1"/>
  <c r="Z99"/>
  <c r="Z100" s="1"/>
  <c r="Z101" s="1"/>
  <c r="Y99"/>
  <c r="Y100" s="1"/>
  <c r="Y101" s="1"/>
  <c r="S99"/>
  <c r="S100" s="1"/>
  <c r="S101" s="1"/>
  <c r="R99"/>
  <c r="R100" s="1"/>
  <c r="R101" s="1"/>
  <c r="L99"/>
  <c r="L100" s="1"/>
  <c r="L101" s="1"/>
  <c r="K99"/>
  <c r="K100" s="1"/>
  <c r="K101" s="1"/>
  <c r="E99"/>
  <c r="E100" s="1"/>
  <c r="E101" s="1"/>
  <c r="D99"/>
  <c r="D100" s="1"/>
  <c r="D101" s="1"/>
  <c r="Z95"/>
  <c r="Z96" s="1"/>
  <c r="Z97" s="1"/>
  <c r="Y95"/>
  <c r="Y96" s="1"/>
  <c r="Y97" s="1"/>
  <c r="S95"/>
  <c r="S96" s="1"/>
  <c r="S97" s="1"/>
  <c r="R95"/>
  <c r="R96" s="1"/>
  <c r="R97" s="1"/>
  <c r="L95"/>
  <c r="L96" s="1"/>
  <c r="L97" s="1"/>
  <c r="K95"/>
  <c r="K96" s="1"/>
  <c r="K97" s="1"/>
  <c r="E95"/>
  <c r="E96" s="1"/>
  <c r="E97" s="1"/>
  <c r="D95"/>
  <c r="D96" s="1"/>
  <c r="D97" s="1"/>
  <c r="Z90"/>
  <c r="Z91" s="1"/>
  <c r="Z92" s="1"/>
  <c r="Y90"/>
  <c r="Y91" s="1"/>
  <c r="Y92" s="1"/>
  <c r="L90"/>
  <c r="L91" s="1"/>
  <c r="L92" s="1"/>
  <c r="K90"/>
  <c r="K91" s="1"/>
  <c r="K92" s="1"/>
  <c r="E90"/>
  <c r="E91" s="1"/>
  <c r="E92" s="1"/>
  <c r="D90"/>
  <c r="D91" s="1"/>
  <c r="D92" s="1"/>
  <c r="Z86"/>
  <c r="Z87" s="1"/>
  <c r="Z88" s="1"/>
  <c r="Y86"/>
  <c r="Y87" s="1"/>
  <c r="Y88" s="1"/>
  <c r="S86"/>
  <c r="S87" s="1"/>
  <c r="S88" s="1"/>
  <c r="R86"/>
  <c r="R87" s="1"/>
  <c r="R88" s="1"/>
  <c r="L86"/>
  <c r="L87" s="1"/>
  <c r="L88" s="1"/>
  <c r="K86"/>
  <c r="K87" s="1"/>
  <c r="K88" s="1"/>
  <c r="E86"/>
  <c r="E87" s="1"/>
  <c r="E88" s="1"/>
  <c r="D86"/>
  <c r="D87" s="1"/>
  <c r="D88" s="1"/>
  <c r="Z81"/>
  <c r="Z82" s="1"/>
  <c r="Z83" s="1"/>
  <c r="Y81"/>
  <c r="Y82" s="1"/>
  <c r="Y83" s="1"/>
  <c r="S81"/>
  <c r="S82" s="1"/>
  <c r="S83" s="1"/>
  <c r="R81"/>
  <c r="R82" s="1"/>
  <c r="R83" s="1"/>
  <c r="L81"/>
  <c r="L82" s="1"/>
  <c r="L83" s="1"/>
  <c r="K81"/>
  <c r="K82" s="1"/>
  <c r="K83" s="1"/>
  <c r="E81"/>
  <c r="E82" s="1"/>
  <c r="E83" s="1"/>
  <c r="Z77"/>
  <c r="Z78" s="1"/>
  <c r="Z79" s="1"/>
  <c r="Y77"/>
  <c r="Y78" s="1"/>
  <c r="Y79" s="1"/>
  <c r="S77"/>
  <c r="S78" s="1"/>
  <c r="S79" s="1"/>
  <c r="R77"/>
  <c r="R78" s="1"/>
  <c r="R79" s="1"/>
  <c r="L77"/>
  <c r="L78" s="1"/>
  <c r="L79" s="1"/>
  <c r="K77"/>
  <c r="K78" s="1"/>
  <c r="K79" s="1"/>
  <c r="E77"/>
  <c r="E78" s="1"/>
  <c r="E79" s="1"/>
  <c r="D77"/>
  <c r="D78" s="1"/>
  <c r="D79" s="1"/>
  <c r="Z71"/>
  <c r="Z72" s="1"/>
  <c r="Z73" s="1"/>
  <c r="Z74" s="1"/>
  <c r="Y71"/>
  <c r="Y72" s="1"/>
  <c r="Y73" s="1"/>
  <c r="Y74" s="1"/>
  <c r="S71"/>
  <c r="S72" s="1"/>
  <c r="S73" s="1"/>
  <c r="S74" s="1"/>
  <c r="R71"/>
  <c r="R72" s="1"/>
  <c r="R73" s="1"/>
  <c r="R74" s="1"/>
  <c r="L71"/>
  <c r="L72" s="1"/>
  <c r="L73" s="1"/>
  <c r="L74" s="1"/>
  <c r="K71"/>
  <c r="K72" s="1"/>
  <c r="K73" s="1"/>
  <c r="K74" s="1"/>
  <c r="E71"/>
  <c r="E72" s="1"/>
  <c r="E73" s="1"/>
  <c r="E74" s="1"/>
  <c r="D71"/>
  <c r="D72" s="1"/>
  <c r="D73" s="1"/>
  <c r="D74" s="1"/>
  <c r="Z66"/>
  <c r="Z67" s="1"/>
  <c r="Z68" s="1"/>
  <c r="Y66"/>
  <c r="Y67" s="1"/>
  <c r="Y68" s="1"/>
  <c r="S66"/>
  <c r="S67" s="1"/>
  <c r="S68" s="1"/>
  <c r="R66"/>
  <c r="R67" s="1"/>
  <c r="R68" s="1"/>
  <c r="L66"/>
  <c r="L67" s="1"/>
  <c r="L68" s="1"/>
  <c r="K66"/>
  <c r="K67" s="1"/>
  <c r="K68" s="1"/>
  <c r="E66"/>
  <c r="E67" s="1"/>
  <c r="E68" s="1"/>
  <c r="D66"/>
  <c r="D67" s="1"/>
  <c r="D68" s="1"/>
  <c r="Z62"/>
  <c r="Z63" s="1"/>
  <c r="Z64" s="1"/>
  <c r="Y62"/>
  <c r="Y63" s="1"/>
  <c r="Y64" s="1"/>
  <c r="S62"/>
  <c r="S63" s="1"/>
  <c r="S64" s="1"/>
  <c r="R62"/>
  <c r="R63" s="1"/>
  <c r="R64" s="1"/>
  <c r="L62"/>
  <c r="L63" s="1"/>
  <c r="L64" s="1"/>
  <c r="K62"/>
  <c r="K63" s="1"/>
  <c r="K64" s="1"/>
  <c r="E62"/>
  <c r="E63" s="1"/>
  <c r="E64" s="1"/>
  <c r="D62"/>
  <c r="D63" s="1"/>
  <c r="D64" s="1"/>
  <c r="Z57"/>
  <c r="Z58" s="1"/>
  <c r="Z59" s="1"/>
  <c r="Y57"/>
  <c r="Y58" s="1"/>
  <c r="Y59" s="1"/>
  <c r="S57"/>
  <c r="S58" s="1"/>
  <c r="S59" s="1"/>
  <c r="R57"/>
  <c r="R58" s="1"/>
  <c r="R59" s="1"/>
  <c r="L57"/>
  <c r="L58" s="1"/>
  <c r="L59" s="1"/>
  <c r="K57"/>
  <c r="K58" s="1"/>
  <c r="K59" s="1"/>
  <c r="E57"/>
  <c r="E58" s="1"/>
  <c r="E59" s="1"/>
  <c r="D57"/>
  <c r="D58" s="1"/>
  <c r="Z53"/>
  <c r="Z54" s="1"/>
  <c r="Z55" s="1"/>
  <c r="Y53"/>
  <c r="Y54" s="1"/>
  <c r="Y55" s="1"/>
  <c r="S53"/>
  <c r="S54" s="1"/>
  <c r="S55" s="1"/>
  <c r="R53"/>
  <c r="R54" s="1"/>
  <c r="R55" s="1"/>
  <c r="L53"/>
  <c r="L54" s="1"/>
  <c r="L55" s="1"/>
  <c r="K53"/>
  <c r="K54" s="1"/>
  <c r="K55" s="1"/>
  <c r="E53"/>
  <c r="E54" s="1"/>
  <c r="D53"/>
  <c r="D54" s="1"/>
  <c r="Z48"/>
  <c r="Z49" s="1"/>
  <c r="Z50" s="1"/>
  <c r="Y48"/>
  <c r="Y49" s="1"/>
  <c r="Y50" s="1"/>
  <c r="S48"/>
  <c r="S49" s="1"/>
  <c r="S50" s="1"/>
  <c r="R48"/>
  <c r="R49" s="1"/>
  <c r="R50" s="1"/>
  <c r="L48"/>
  <c r="L49" s="1"/>
  <c r="L50" s="1"/>
  <c r="K48"/>
  <c r="K49" s="1"/>
  <c r="K50" s="1"/>
  <c r="E48"/>
  <c r="E49" s="1"/>
  <c r="E50" s="1"/>
  <c r="D48"/>
  <c r="D49" s="1"/>
  <c r="D50" s="1"/>
  <c r="Z44"/>
  <c r="Z45" s="1"/>
  <c r="Z46" s="1"/>
  <c r="Y44"/>
  <c r="Y45" s="1"/>
  <c r="Y46" s="1"/>
  <c r="S44"/>
  <c r="S45" s="1"/>
  <c r="S46" s="1"/>
  <c r="R44"/>
  <c r="R45" s="1"/>
  <c r="R46" s="1"/>
  <c r="L44"/>
  <c r="L45" s="1"/>
  <c r="L46" s="1"/>
  <c r="K44"/>
  <c r="K45" s="1"/>
  <c r="K46" s="1"/>
  <c r="E44"/>
  <c r="E45" s="1"/>
  <c r="E46" s="1"/>
  <c r="D44"/>
  <c r="D45" s="1"/>
  <c r="D46" s="1"/>
  <c r="Z38"/>
  <c r="Z39" s="1"/>
  <c r="Z40" s="1"/>
  <c r="Z41" s="1"/>
  <c r="S38"/>
  <c r="S39" s="1"/>
  <c r="S40" s="1"/>
  <c r="S41" s="1"/>
  <c r="R38"/>
  <c r="R39" s="1"/>
  <c r="R40" s="1"/>
  <c r="R41" s="1"/>
  <c r="L38"/>
  <c r="L39" s="1"/>
  <c r="L40" s="1"/>
  <c r="L41" s="1"/>
  <c r="K38"/>
  <c r="K39" s="1"/>
  <c r="K40" s="1"/>
  <c r="K41" s="1"/>
  <c r="E38"/>
  <c r="E39" s="1"/>
  <c r="E40" s="1"/>
  <c r="E41" s="1"/>
  <c r="D38"/>
  <c r="D39" s="1"/>
  <c r="D40" s="1"/>
  <c r="D41" s="1"/>
  <c r="D59" l="1"/>
  <c r="C10" i="1"/>
  <c r="E9"/>
  <c r="I9"/>
  <c r="G9"/>
  <c r="AD10" s="1"/>
  <c r="C9"/>
  <c r="E11" i="7"/>
  <c r="E17" s="1"/>
  <c r="AC10" i="1" l="1"/>
  <c r="N5" s="1"/>
  <c r="E15" i="7"/>
  <c r="E16"/>
  <c r="L18" i="1"/>
</calcChain>
</file>

<file path=xl/sharedStrings.xml><?xml version="1.0" encoding="utf-8"?>
<sst xmlns="http://schemas.openxmlformats.org/spreadsheetml/2006/main" count="1678" uniqueCount="297">
  <si>
    <t>8h30 - 10h00</t>
  </si>
  <si>
    <t>10h30 - 12h00</t>
  </si>
  <si>
    <t>12h30 - 14h00</t>
  </si>
  <si>
    <t>14h30 - 16h00</t>
  </si>
  <si>
    <t>Surveillants</t>
  </si>
  <si>
    <t>Matières</t>
  </si>
  <si>
    <t>Lieu</t>
  </si>
  <si>
    <t>Responsable de la matière</t>
  </si>
  <si>
    <t>Gr</t>
  </si>
  <si>
    <t>Lundi 16/01/2023</t>
  </si>
  <si>
    <t>Spécialité</t>
  </si>
  <si>
    <t>Métallurgie</t>
  </si>
  <si>
    <t>Const. Méca</t>
  </si>
  <si>
    <t>Energétique</t>
  </si>
  <si>
    <t>S:A1</t>
  </si>
  <si>
    <t>S:A2</t>
  </si>
  <si>
    <t>S:A3</t>
  </si>
  <si>
    <t>S:A4</t>
  </si>
  <si>
    <t>S:A5</t>
  </si>
  <si>
    <t>S:A6</t>
  </si>
  <si>
    <t>Heure</t>
  </si>
  <si>
    <t>Master I</t>
  </si>
  <si>
    <t>D.Senani</t>
  </si>
  <si>
    <t>Ondes et vibrations</t>
  </si>
  <si>
    <t>Technologie de base</t>
  </si>
  <si>
    <t>Mécanique des fluides</t>
  </si>
  <si>
    <t>Métrologie</t>
  </si>
  <si>
    <t>Probabilités et statistiques</t>
  </si>
  <si>
    <t>Mécanique rationnelle</t>
  </si>
  <si>
    <t>Mathématique 3</t>
  </si>
  <si>
    <t xml:space="preserve">Electricité </t>
  </si>
  <si>
    <t>A.Boulegroune</t>
  </si>
  <si>
    <t>Y.Djebloune</t>
  </si>
  <si>
    <t>A.Labed</t>
  </si>
  <si>
    <t>F.Chabane</t>
  </si>
  <si>
    <t>B.Guerira</t>
  </si>
  <si>
    <t>N.Remili</t>
  </si>
  <si>
    <t>T.Masri</t>
  </si>
  <si>
    <t>K.Zeghdoudi</t>
  </si>
  <si>
    <t>Métallurgie physique 1</t>
  </si>
  <si>
    <t>Normalisation en métallurgie</t>
  </si>
  <si>
    <t>Elaboration des métaux ferreux</t>
  </si>
  <si>
    <t>S.Messaoudi</t>
  </si>
  <si>
    <t>M.Athmani</t>
  </si>
  <si>
    <t>K.Ouennas</t>
  </si>
  <si>
    <t>Matériaux non métalliques</t>
  </si>
  <si>
    <t>Transfert de chaleur et de masse</t>
  </si>
  <si>
    <t>M.Zellouf</t>
  </si>
  <si>
    <t>Comportement mécanique des métaux</t>
  </si>
  <si>
    <t>M.Djellab</t>
  </si>
  <si>
    <t>Méthode d'analyse et de caractérisation</t>
  </si>
  <si>
    <t>Z.Boumerzoug</t>
  </si>
  <si>
    <t>Elasticité</t>
  </si>
  <si>
    <t>Asservissement et régulation</t>
  </si>
  <si>
    <t>M.Hecini</t>
  </si>
  <si>
    <t>H.Hadef</t>
  </si>
  <si>
    <t>Construction mécanique 1</t>
  </si>
  <si>
    <t>M.Benmachiche</t>
  </si>
  <si>
    <t>Mécanique analytique</t>
  </si>
  <si>
    <t>Maintenance</t>
  </si>
  <si>
    <t>Environnement et dev. Durable</t>
  </si>
  <si>
    <t>N.Moummi</t>
  </si>
  <si>
    <t>Résistance des matériaux</t>
  </si>
  <si>
    <t>N.Drias</t>
  </si>
  <si>
    <t>Transfert de chaleur 1</t>
  </si>
  <si>
    <t>N.Boultif</t>
  </si>
  <si>
    <t>Conversion d'énergie</t>
  </si>
  <si>
    <t>F.Bekhoucha</t>
  </si>
  <si>
    <t>Turbomachines 1</t>
  </si>
  <si>
    <t>A.Aliouali</t>
  </si>
  <si>
    <t>Notionn élements de machines</t>
  </si>
  <si>
    <t>Mesure et instrumentation</t>
  </si>
  <si>
    <t>W.Grine</t>
  </si>
  <si>
    <t>N.Belghar</t>
  </si>
  <si>
    <t>Transformation de phases</t>
  </si>
  <si>
    <t>Plasticité et endomagement</t>
  </si>
  <si>
    <t>Microscopie éléect. et tech. d'observation</t>
  </si>
  <si>
    <t>Physico-chime des surfaces</t>
  </si>
  <si>
    <t>H.Bentrah</t>
  </si>
  <si>
    <t>Radiocristallographie</t>
  </si>
  <si>
    <t>Propriétés mécanique des métaux</t>
  </si>
  <si>
    <t>M.Dejllab</t>
  </si>
  <si>
    <t>Informatique</t>
  </si>
  <si>
    <t>Théorie des processus métallurgique</t>
  </si>
  <si>
    <t>A.Beggar</t>
  </si>
  <si>
    <t>Mécanique des milieux continus</t>
  </si>
  <si>
    <t>Moteurs à combustion interne</t>
  </si>
  <si>
    <t>A.Benarfaoui</t>
  </si>
  <si>
    <t>A.Benchabane</t>
  </si>
  <si>
    <t>Résistances de matériaux Avan.</t>
  </si>
  <si>
    <t>Automatisation des systèmes</t>
  </si>
  <si>
    <t>A.Saadoune</t>
  </si>
  <si>
    <t>Technique de fabrication conv. Et avanc.</t>
  </si>
  <si>
    <t>D.Mouhamadi</t>
  </si>
  <si>
    <t>Electronique (Panier au choix)</t>
  </si>
  <si>
    <t>Mécanique des fluides appr.</t>
  </si>
  <si>
    <t>C.Mahboub</t>
  </si>
  <si>
    <t>Machines thermiques</t>
  </si>
  <si>
    <t>A.Moummi</t>
  </si>
  <si>
    <t>Transfert de chaleur et de masse appr.</t>
  </si>
  <si>
    <t>N.Chouchane</t>
  </si>
  <si>
    <t>Méthodes numériques appr.</t>
  </si>
  <si>
    <t>S.Guerbaii</t>
  </si>
  <si>
    <t>Instrumentation et mesure</t>
  </si>
  <si>
    <t>Fiabilités des systèmes (Panier au choix)</t>
  </si>
  <si>
    <t>Recherche doc. Et concept de mémoire</t>
  </si>
  <si>
    <t>Electrométallurgie de l'acier et ferro.</t>
  </si>
  <si>
    <t>Matériaux innovants</t>
  </si>
  <si>
    <t>Métallurgie du soudage et contrôle</t>
  </si>
  <si>
    <t>Méttaux et alliages non ferreux</t>
  </si>
  <si>
    <t>F.Z.Lemmadi</t>
  </si>
  <si>
    <t>Matière au choix</t>
  </si>
  <si>
    <t>Mise en forme des métaux</t>
  </si>
  <si>
    <t>Gestion des entreprise</t>
  </si>
  <si>
    <t>Gestion des entreprise (Panier au choix)</t>
  </si>
  <si>
    <t>Matériaux</t>
  </si>
  <si>
    <t>Mécanique de la rupture</t>
  </si>
  <si>
    <t>S.Bouadjaja</t>
  </si>
  <si>
    <t>Matériaux composites</t>
  </si>
  <si>
    <t>L.Sedira</t>
  </si>
  <si>
    <t>Charpente métallique</t>
  </si>
  <si>
    <t>M.Chadli</t>
  </si>
  <si>
    <t>M.N.Amrane</t>
  </si>
  <si>
    <t>Dynamique des machines tournantes</t>
  </si>
  <si>
    <t>Bureau des méthodes</t>
  </si>
  <si>
    <t>L.Baci</t>
  </si>
  <si>
    <t>Turbomachines</t>
  </si>
  <si>
    <t xml:space="preserve"> Projet solaire (Panier au choix)</t>
  </si>
  <si>
    <t>Echangeurs de chaleur</t>
  </si>
  <si>
    <t>Mécanique de propulsion</t>
  </si>
  <si>
    <t>M.S.Chebah</t>
  </si>
  <si>
    <t>Cryogénie</t>
  </si>
  <si>
    <t>Moteurs à combustion interne appr.</t>
  </si>
  <si>
    <t>Optimisation</t>
  </si>
  <si>
    <t>CFD et logiciels</t>
  </si>
  <si>
    <t>جامعة محمد خيضر - بسكرة</t>
  </si>
  <si>
    <t>كلية العلوم و التكنولوجيا</t>
  </si>
  <si>
    <t>قسم الهندسة الميكانيكية</t>
  </si>
  <si>
    <t>S:A7</t>
  </si>
  <si>
    <t>S:A8</t>
  </si>
  <si>
    <t>S:A9</t>
  </si>
  <si>
    <t>S:A10</t>
  </si>
  <si>
    <t>S:A11</t>
  </si>
  <si>
    <t>Matière</t>
  </si>
  <si>
    <t>Nom et Prenom de l'enseignant :</t>
  </si>
  <si>
    <t>Selectionner votre nom</t>
  </si>
  <si>
    <t>Université Mohamed Khider. Biskra</t>
  </si>
  <si>
    <t>Faculté des sciences et de la technologie</t>
  </si>
  <si>
    <t>Département de génie mécanique</t>
  </si>
  <si>
    <t>Biskra le :</t>
  </si>
  <si>
    <t>Le chef de département</t>
  </si>
  <si>
    <t>F.Chouia</t>
  </si>
  <si>
    <t>D.Mohamdi</t>
  </si>
  <si>
    <t>L3</t>
  </si>
  <si>
    <t>L2 + M2</t>
  </si>
  <si>
    <t>M1</t>
  </si>
  <si>
    <t>Mardi 17/01/2024</t>
  </si>
  <si>
    <t>Mercredi 18/01/2025</t>
  </si>
  <si>
    <t>Jeudi 19/01/2026</t>
  </si>
  <si>
    <t>Samedi 21/01/2027</t>
  </si>
  <si>
    <t>Mercredi 25/01/2028</t>
  </si>
  <si>
    <t>Dimanche 15/01/2022</t>
  </si>
  <si>
    <t>برنامج مراجعة أوراق الامتحان</t>
  </si>
  <si>
    <t>Amphi 4</t>
  </si>
  <si>
    <t>S:A12</t>
  </si>
  <si>
    <t>S:A13</t>
  </si>
  <si>
    <t>S:A14</t>
  </si>
  <si>
    <t>rc</t>
  </si>
  <si>
    <t>ax</t>
  </si>
  <si>
    <t>ay</t>
  </si>
  <si>
    <t>t</t>
  </si>
  <si>
    <t>ox</t>
  </si>
  <si>
    <t>oy</t>
  </si>
  <si>
    <t>M</t>
  </si>
  <si>
    <t>angle</t>
  </si>
  <si>
    <t>P</t>
  </si>
  <si>
    <t>3 Licence</t>
  </si>
  <si>
    <t xml:space="preserve">التوزيع الزمني لامتحانات السداسي الثاني 2023/2022 </t>
  </si>
  <si>
    <t>13h00 - 14h30</t>
  </si>
  <si>
    <t>Entrepreneuriat et management d'entreprise</t>
  </si>
  <si>
    <t>Sécurité et environnement</t>
  </si>
  <si>
    <t>Notions de mesures et instrumentations</t>
  </si>
  <si>
    <t>Métallurgie physique 2</t>
  </si>
  <si>
    <t>Corrosion et protection des métaux</t>
  </si>
  <si>
    <t>Acier et alliages spéciaux</t>
  </si>
  <si>
    <t>Procédés de mise en forme des métaux</t>
  </si>
  <si>
    <t>Electronique générale</t>
  </si>
  <si>
    <t>Panier au choix (Electronique générale)</t>
  </si>
  <si>
    <t>Matériaux métallique</t>
  </si>
  <si>
    <t>Calcul numérique et modélisation</t>
  </si>
  <si>
    <t>K.Ounas</t>
  </si>
  <si>
    <t>Technologie de fonderie</t>
  </si>
  <si>
    <t>Réduction directe du minerai</t>
  </si>
  <si>
    <t>Equilibre de phase</t>
  </si>
  <si>
    <t>Métallurgie des poudres</t>
  </si>
  <si>
    <t>Génie des surfaces</t>
  </si>
  <si>
    <t>Moteur à combustion interne</t>
  </si>
  <si>
    <t>Système hydrauliques et pneumatiques</t>
  </si>
  <si>
    <t>N.Chouchene</t>
  </si>
  <si>
    <t>Construction mécanique 2</t>
  </si>
  <si>
    <t>Transfert thermique</t>
  </si>
  <si>
    <t>Dynamique des structures</t>
  </si>
  <si>
    <t>Théorie des mécanismes</t>
  </si>
  <si>
    <t>Energie renouvelables</t>
  </si>
  <si>
    <t>Transfert de chaleur 2</t>
  </si>
  <si>
    <t>Machines frigorifique et pompes à chaleur</t>
  </si>
  <si>
    <t>Turbomachines 2</t>
  </si>
  <si>
    <t>CFAO</t>
  </si>
  <si>
    <t>Panier au choix (Modélisation et programmation)</t>
  </si>
  <si>
    <t>Méthode des éléments finis</t>
  </si>
  <si>
    <t>Dynamique des structures avancée</t>
  </si>
  <si>
    <t>Systèmes mécaniques articulés et robotique</t>
  </si>
  <si>
    <t>D.Mohamedi</t>
  </si>
  <si>
    <t>Conception de système mécaniques</t>
  </si>
  <si>
    <t>Asservissement et régulations</t>
  </si>
  <si>
    <t>Panier au choix (Energie renouvelable)</t>
  </si>
  <si>
    <t>Méthode des volumes finis</t>
  </si>
  <si>
    <t>Dynamique des gaz</t>
  </si>
  <si>
    <t>Chauffage et climatisation</t>
  </si>
  <si>
    <t>Combustion</t>
  </si>
  <si>
    <t>Séchage thermique</t>
  </si>
  <si>
    <t>Turbomachines approfondies</t>
  </si>
  <si>
    <t>2 Licence</t>
  </si>
  <si>
    <t>Génie mécanique</t>
  </si>
  <si>
    <t>11h00 - 12h30</t>
  </si>
  <si>
    <t>Electricité industrielle</t>
  </si>
  <si>
    <t>Sciences des matériaux</t>
  </si>
  <si>
    <t>Fabrication mécanique</t>
  </si>
  <si>
    <t>S.Hamza</t>
  </si>
  <si>
    <t>Mathématique 4</t>
  </si>
  <si>
    <t>Thermodynamique 2</t>
  </si>
  <si>
    <t>Méthodes numériques</t>
  </si>
  <si>
    <t>Résistance des matériaux 1</t>
  </si>
  <si>
    <t>Métallurgie extractive</t>
  </si>
  <si>
    <t>Propriétés des matériaux</t>
  </si>
  <si>
    <t>Minéralogie et cristallographie</t>
  </si>
  <si>
    <t>Chimie physique</t>
  </si>
  <si>
    <t>F.Ghebghoub</t>
  </si>
  <si>
    <t>Technique d'expression et de communication (عن بعد)</t>
  </si>
  <si>
    <t>L2 Métallurgie</t>
  </si>
  <si>
    <t>L2 Génie Mécanique</t>
  </si>
  <si>
    <t>L3 Métallurgie</t>
  </si>
  <si>
    <t>L3 Construction</t>
  </si>
  <si>
    <t>L3 Energétique</t>
  </si>
  <si>
    <t>M1 Métallurgie</t>
  </si>
  <si>
    <t>M1 Construction</t>
  </si>
  <si>
    <t>M1 Energétique</t>
  </si>
  <si>
    <t>M2 Métallurgie</t>
  </si>
  <si>
    <t>M2 Construction</t>
  </si>
  <si>
    <t>M2 Energétique</t>
  </si>
  <si>
    <t>G01</t>
  </si>
  <si>
    <t>G02</t>
  </si>
  <si>
    <t>G03</t>
  </si>
  <si>
    <t>Emploi des surveillances (Session normale)</t>
  </si>
  <si>
    <t>A2</t>
  </si>
  <si>
    <t>Nombre de surveillances :</t>
  </si>
  <si>
    <t>Zone 1</t>
  </si>
  <si>
    <t>Zone 2</t>
  </si>
  <si>
    <t>Zone 3</t>
  </si>
  <si>
    <t>Zone 4</t>
  </si>
  <si>
    <t>H.Djemai</t>
  </si>
  <si>
    <t>A1</t>
  </si>
  <si>
    <t>L2 MET</t>
  </si>
  <si>
    <t>L2 GM</t>
  </si>
  <si>
    <t>Samedi 18/05/2024</t>
  </si>
  <si>
    <t>Dimanche 19/05/2024</t>
  </si>
  <si>
    <t>Lundi 20/05/2024</t>
  </si>
  <si>
    <t>Mardi 21/05/2024</t>
  </si>
  <si>
    <t>Mercredi 22/05/2024</t>
  </si>
  <si>
    <t>Jeudi 23/05/2024</t>
  </si>
  <si>
    <t xml:space="preserve">التوزيع الزمني لامتحانات السداسي الثاني 2023/2024 </t>
  </si>
  <si>
    <t>التوزيع الزمني لامتحانات السداسي الثاني 2023/2024</t>
  </si>
  <si>
    <t>O.Hamdi</t>
  </si>
  <si>
    <t>D.Fites</t>
  </si>
  <si>
    <t>S.Hadef</t>
  </si>
  <si>
    <t>B.Melik</t>
  </si>
  <si>
    <t>Jeudi 16/05/2024</t>
  </si>
  <si>
    <t>H.Benzine</t>
  </si>
  <si>
    <t>H.benzine</t>
  </si>
  <si>
    <t>Mercredi 15/05/2024</t>
  </si>
  <si>
    <t>Mercredi 22/05/2023</t>
  </si>
  <si>
    <t>jeudi 23/05/2024</t>
  </si>
  <si>
    <t xml:space="preserve">Mercredi 22/05/2024 </t>
  </si>
  <si>
    <t xml:space="preserve">Jeudi 23/05/2024 </t>
  </si>
  <si>
    <t>Amphi 3</t>
  </si>
  <si>
    <t>S02</t>
  </si>
  <si>
    <t>S10</t>
  </si>
  <si>
    <t>S27</t>
  </si>
  <si>
    <t>S19</t>
  </si>
  <si>
    <t>S28</t>
  </si>
  <si>
    <t>S29</t>
  </si>
  <si>
    <t>S30</t>
  </si>
  <si>
    <t xml:space="preserve">  G02</t>
  </si>
  <si>
    <t>S21</t>
  </si>
  <si>
    <t>Dimance 19/05/2024</t>
  </si>
  <si>
    <t>Respect des normes et des règles d’éthique et d’intégrité  (à distance)</t>
  </si>
  <si>
    <t>Respect des normes et des règles d’éthique et d’intégrité (à distance)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</si>
</sst>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6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CC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27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7" fillId="11" borderId="22" xfId="0" applyFont="1" applyFill="1" applyBorder="1" applyAlignment="1">
      <alignment horizontal="center" vertical="center" wrapText="1"/>
    </xf>
    <xf numFmtId="0" fontId="7" fillId="11" borderId="20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10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Font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28" xfId="0" applyFont="1" applyBorder="1"/>
    <xf numFmtId="0" fontId="1" fillId="0" borderId="0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5" xfId="0" applyFont="1" applyBorder="1"/>
    <xf numFmtId="0" fontId="1" fillId="0" borderId="31" xfId="0" applyFont="1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0" xfId="0" applyBorder="1"/>
    <xf numFmtId="0" fontId="0" fillId="0" borderId="28" xfId="0" applyFont="1" applyBorder="1"/>
    <xf numFmtId="0" fontId="0" fillId="0" borderId="30" xfId="0" applyBorder="1"/>
    <xf numFmtId="0" fontId="0" fillId="0" borderId="35" xfId="0" applyBorder="1"/>
    <xf numFmtId="0" fontId="0" fillId="9" borderId="0" xfId="0" applyFill="1" applyAlignment="1"/>
    <xf numFmtId="0" fontId="1" fillId="9" borderId="34" xfId="0" applyFont="1" applyFill="1" applyBorder="1"/>
    <xf numFmtId="0" fontId="1" fillId="9" borderId="32" xfId="0" applyFont="1" applyFill="1" applyBorder="1"/>
    <xf numFmtId="0" fontId="1" fillId="9" borderId="33" xfId="0" applyFont="1" applyFill="1" applyBorder="1"/>
    <xf numFmtId="0" fontId="0" fillId="9" borderId="0" xfId="0" applyFill="1"/>
    <xf numFmtId="0" fontId="1" fillId="9" borderId="29" xfId="0" applyFont="1" applyFill="1" applyBorder="1"/>
    <xf numFmtId="0" fontId="1" fillId="9" borderId="28" xfId="0" applyFont="1" applyFill="1" applyBorder="1"/>
    <xf numFmtId="0" fontId="1" fillId="9" borderId="0" xfId="0" applyFont="1" applyFill="1" applyBorder="1"/>
    <xf numFmtId="0" fontId="1" fillId="9" borderId="30" xfId="0" applyFont="1" applyFill="1" applyBorder="1"/>
    <xf numFmtId="0" fontId="1" fillId="9" borderId="35" xfId="0" applyFont="1" applyFill="1" applyBorder="1"/>
    <xf numFmtId="0" fontId="1" fillId="9" borderId="31" xfId="0" applyFont="1" applyFill="1" applyBorder="1"/>
    <xf numFmtId="0" fontId="0" fillId="9" borderId="0" xfId="0" applyFont="1" applyFill="1"/>
    <xf numFmtId="0" fontId="0" fillId="9" borderId="32" xfId="0" applyFill="1" applyBorder="1"/>
    <xf numFmtId="0" fontId="0" fillId="9" borderId="33" xfId="0" applyFill="1" applyBorder="1"/>
    <xf numFmtId="0" fontId="0" fillId="9" borderId="28" xfId="0" applyFill="1" applyBorder="1"/>
    <xf numFmtId="0" fontId="0" fillId="9" borderId="0" xfId="0" applyFill="1" applyBorder="1"/>
    <xf numFmtId="0" fontId="0" fillId="9" borderId="0" xfId="0" applyFill="1" applyAlignment="1">
      <alignment horizontal="center" vertical="center" wrapText="1"/>
    </xf>
    <xf numFmtId="0" fontId="0" fillId="0" borderId="29" xfId="0" applyBorder="1"/>
    <xf numFmtId="0" fontId="0" fillId="0" borderId="31" xfId="0" applyBorder="1"/>
    <xf numFmtId="0" fontId="0" fillId="0" borderId="0" xfId="0" applyFill="1"/>
    <xf numFmtId="0" fontId="7" fillId="11" borderId="20" xfId="0" applyFont="1" applyFill="1" applyBorder="1" applyAlignment="1">
      <alignment horizontal="center" vertical="center" wrapText="1"/>
    </xf>
    <xf numFmtId="0" fontId="0" fillId="5" borderId="0" xfId="0" applyFill="1"/>
    <xf numFmtId="0" fontId="7" fillId="6" borderId="12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1" borderId="11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vertical="center" wrapText="1"/>
    </xf>
    <xf numFmtId="0" fontId="2" fillId="6" borderId="40" xfId="0" applyFont="1" applyFill="1" applyBorder="1" applyAlignment="1">
      <alignment horizontal="center" vertical="center" wrapText="1"/>
    </xf>
    <xf numFmtId="0" fontId="2" fillId="19" borderId="40" xfId="0" applyFont="1" applyFill="1" applyBorder="1" applyAlignment="1">
      <alignment horizontal="center" vertical="center" wrapText="1"/>
    </xf>
    <xf numFmtId="0" fontId="2" fillId="20" borderId="4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wrapText="1"/>
    </xf>
    <xf numFmtId="0" fontId="2" fillId="14" borderId="26" xfId="0" applyFont="1" applyFill="1" applyBorder="1" applyAlignment="1">
      <alignment horizontal="center" vertical="center" wrapText="1"/>
    </xf>
    <xf numFmtId="0" fontId="2" fillId="14" borderId="24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3" fillId="2" borderId="7" xfId="0" applyFont="1" applyFill="1" applyBorder="1"/>
    <xf numFmtId="0" fontId="13" fillId="2" borderId="8" xfId="0" applyFont="1" applyFill="1" applyBorder="1"/>
    <xf numFmtId="0" fontId="13" fillId="2" borderId="8" xfId="0" applyFont="1" applyFill="1" applyBorder="1" applyAlignment="1">
      <alignment horizontal="center" vertical="center"/>
    </xf>
    <xf numFmtId="0" fontId="13" fillId="7" borderId="44" xfId="0" applyFont="1" applyFill="1" applyBorder="1"/>
    <xf numFmtId="0" fontId="13" fillId="7" borderId="1" xfId="0" applyFont="1" applyFill="1" applyBorder="1"/>
    <xf numFmtId="0" fontId="13" fillId="7" borderId="23" xfId="0" applyFont="1" applyFill="1" applyBorder="1"/>
    <xf numFmtId="0" fontId="13" fillId="7" borderId="10" xfId="0" applyFont="1" applyFill="1" applyBorder="1"/>
    <xf numFmtId="0" fontId="13" fillId="6" borderId="23" xfId="0" applyFont="1" applyFill="1" applyBorder="1"/>
    <xf numFmtId="0" fontId="13" fillId="6" borderId="1" xfId="0" applyFont="1" applyFill="1" applyBorder="1"/>
    <xf numFmtId="0" fontId="13" fillId="6" borderId="1" xfId="0" applyFont="1" applyFill="1" applyBorder="1" applyAlignment="1">
      <alignment horizontal="center" vertical="center"/>
    </xf>
    <xf numFmtId="0" fontId="13" fillId="15" borderId="23" xfId="0" applyFont="1" applyFill="1" applyBorder="1"/>
    <xf numFmtId="0" fontId="13" fillId="15" borderId="1" xfId="0" applyFont="1" applyFill="1" applyBorder="1"/>
    <xf numFmtId="0" fontId="13" fillId="15" borderId="1" xfId="0" applyFont="1" applyFill="1" applyBorder="1" applyAlignment="1">
      <alignment horizontal="center" vertical="center"/>
    </xf>
    <xf numFmtId="0" fontId="13" fillId="17" borderId="23" xfId="0" applyFont="1" applyFill="1" applyBorder="1"/>
    <xf numFmtId="0" fontId="13" fillId="17" borderId="1" xfId="0" applyFont="1" applyFill="1" applyBorder="1"/>
    <xf numFmtId="0" fontId="13" fillId="17" borderId="1" xfId="0" applyFont="1" applyFill="1" applyBorder="1" applyAlignment="1">
      <alignment horizontal="center" vertical="center"/>
    </xf>
    <xf numFmtId="0" fontId="13" fillId="2" borderId="23" xfId="0" applyFont="1" applyFill="1" applyBorder="1"/>
    <xf numFmtId="0" fontId="14" fillId="19" borderId="1" xfId="0" applyFont="1" applyFill="1" applyBorder="1"/>
    <xf numFmtId="0" fontId="14" fillId="19" borderId="1" xfId="0" applyFont="1" applyFill="1" applyBorder="1" applyAlignment="1">
      <alignment horizontal="center" vertical="center"/>
    </xf>
    <xf numFmtId="0" fontId="13" fillId="16" borderId="23" xfId="0" applyFont="1" applyFill="1" applyBorder="1"/>
    <xf numFmtId="0" fontId="14" fillId="16" borderId="1" xfId="0" applyFont="1" applyFill="1" applyBorder="1"/>
    <xf numFmtId="0" fontId="14" fillId="16" borderId="1" xfId="0" applyFont="1" applyFill="1" applyBorder="1" applyAlignment="1">
      <alignment horizontal="center" vertical="center"/>
    </xf>
    <xf numFmtId="0" fontId="13" fillId="8" borderId="23" xfId="0" applyFont="1" applyFill="1" applyBorder="1"/>
    <xf numFmtId="0" fontId="14" fillId="8" borderId="1" xfId="0" applyFont="1" applyFill="1" applyBorder="1"/>
    <xf numFmtId="0" fontId="14" fillId="8" borderId="1" xfId="0" applyFont="1" applyFill="1" applyBorder="1" applyAlignment="1">
      <alignment horizontal="center" vertical="center"/>
    </xf>
    <xf numFmtId="0" fontId="13" fillId="20" borderId="23" xfId="0" applyFont="1" applyFill="1" applyBorder="1"/>
    <xf numFmtId="0" fontId="14" fillId="20" borderId="1" xfId="0" applyFont="1" applyFill="1" applyBorder="1"/>
    <xf numFmtId="0" fontId="14" fillId="20" borderId="1" xfId="0" applyFont="1" applyFill="1" applyBorder="1" applyAlignment="1">
      <alignment horizontal="center" vertical="center"/>
    </xf>
    <xf numFmtId="0" fontId="14" fillId="7" borderId="1" xfId="0" applyFont="1" applyFill="1" applyBorder="1"/>
    <xf numFmtId="0" fontId="14" fillId="7" borderId="1" xfId="0" applyFont="1" applyFill="1" applyBorder="1" applyAlignment="1">
      <alignment horizontal="center" vertical="center"/>
    </xf>
    <xf numFmtId="0" fontId="13" fillId="18" borderId="23" xfId="0" applyFont="1" applyFill="1" applyBorder="1"/>
    <xf numFmtId="0" fontId="14" fillId="18" borderId="1" xfId="0" applyFont="1" applyFill="1" applyBorder="1"/>
    <xf numFmtId="0" fontId="13" fillId="18" borderId="26" xfId="0" applyFont="1" applyFill="1" applyBorder="1"/>
    <xf numFmtId="0" fontId="14" fillId="18" borderId="24" xfId="0" applyFont="1" applyFill="1" applyBorder="1"/>
    <xf numFmtId="0" fontId="13" fillId="20" borderId="1" xfId="0" applyFont="1" applyFill="1" applyBorder="1"/>
    <xf numFmtId="0" fontId="13" fillId="19" borderId="1" xfId="0" applyFont="1" applyFill="1" applyBorder="1"/>
    <xf numFmtId="0" fontId="13" fillId="8" borderId="1" xfId="0" applyFont="1" applyFill="1" applyBorder="1"/>
    <xf numFmtId="0" fontId="13" fillId="18" borderId="1" xfId="0" applyFont="1" applyFill="1" applyBorder="1"/>
    <xf numFmtId="0" fontId="13" fillId="16" borderId="1" xfId="0" applyFont="1" applyFill="1" applyBorder="1"/>
    <xf numFmtId="0" fontId="13" fillId="2" borderId="48" xfId="0" applyFont="1" applyFill="1" applyBorder="1" applyAlignment="1">
      <alignment horizontal="center" vertical="center"/>
    </xf>
    <xf numFmtId="0" fontId="13" fillId="7" borderId="43" xfId="0" applyFont="1" applyFill="1" applyBorder="1" applyAlignment="1">
      <alignment horizontal="center" vertical="center"/>
    </xf>
    <xf numFmtId="0" fontId="13" fillId="6" borderId="43" xfId="0" applyFont="1" applyFill="1" applyBorder="1" applyAlignment="1">
      <alignment horizontal="center" vertical="center"/>
    </xf>
    <xf numFmtId="0" fontId="13" fillId="15" borderId="43" xfId="0" applyFont="1" applyFill="1" applyBorder="1" applyAlignment="1">
      <alignment horizontal="center" vertical="center"/>
    </xf>
    <xf numFmtId="0" fontId="13" fillId="17" borderId="43" xfId="0" applyFont="1" applyFill="1" applyBorder="1" applyAlignment="1">
      <alignment horizontal="center" vertical="center"/>
    </xf>
    <xf numFmtId="0" fontId="14" fillId="19" borderId="43" xfId="0" applyFont="1" applyFill="1" applyBorder="1" applyAlignment="1">
      <alignment horizontal="center" vertical="center"/>
    </xf>
    <xf numFmtId="0" fontId="14" fillId="16" borderId="43" xfId="0" applyFont="1" applyFill="1" applyBorder="1" applyAlignment="1">
      <alignment horizontal="center" vertical="center"/>
    </xf>
    <xf numFmtId="0" fontId="14" fillId="8" borderId="43" xfId="0" applyFont="1" applyFill="1" applyBorder="1" applyAlignment="1">
      <alignment horizontal="center" vertical="center"/>
    </xf>
    <xf numFmtId="0" fontId="14" fillId="20" borderId="43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18" borderId="43" xfId="0" applyFont="1" applyFill="1" applyBorder="1" applyAlignment="1">
      <alignment horizontal="center" vertical="center"/>
    </xf>
    <xf numFmtId="0" fontId="14" fillId="18" borderId="4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7" borderId="44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23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3" fillId="15" borderId="23" xfId="0" applyFont="1" applyFill="1" applyBorder="1" applyAlignment="1">
      <alignment horizontal="center" vertical="center"/>
    </xf>
    <xf numFmtId="0" fontId="13" fillId="15" borderId="11" xfId="0" applyFont="1" applyFill="1" applyBorder="1" applyAlignment="1">
      <alignment horizontal="center" vertical="center"/>
    </xf>
    <xf numFmtId="0" fontId="13" fillId="17" borderId="23" xfId="0" applyFont="1" applyFill="1" applyBorder="1" applyAlignment="1">
      <alignment horizontal="center" vertical="center"/>
    </xf>
    <xf numFmtId="0" fontId="13" fillId="17" borderId="11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19" borderId="1" xfId="0" applyFont="1" applyFill="1" applyBorder="1" applyAlignment="1">
      <alignment horizontal="center" vertical="center"/>
    </xf>
    <xf numFmtId="0" fontId="14" fillId="19" borderId="11" xfId="0" applyFont="1" applyFill="1" applyBorder="1" applyAlignment="1">
      <alignment horizontal="center" vertical="center"/>
    </xf>
    <xf numFmtId="0" fontId="13" fillId="16" borderId="23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/>
    </xf>
    <xf numFmtId="0" fontId="14" fillId="16" borderId="11" xfId="0" applyFont="1" applyFill="1" applyBorder="1" applyAlignment="1">
      <alignment horizontal="center" vertical="center"/>
    </xf>
    <xf numFmtId="0" fontId="13" fillId="8" borderId="23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13" fillId="20" borderId="23" xfId="0" applyFont="1" applyFill="1" applyBorder="1" applyAlignment="1">
      <alignment horizontal="center" vertical="center"/>
    </xf>
    <xf numFmtId="0" fontId="13" fillId="20" borderId="1" xfId="0" applyFont="1" applyFill="1" applyBorder="1" applyAlignment="1">
      <alignment horizontal="center" vertical="center"/>
    </xf>
    <xf numFmtId="0" fontId="14" fillId="20" borderId="11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3" fillId="18" borderId="23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center" vertical="center"/>
    </xf>
    <xf numFmtId="0" fontId="14" fillId="18" borderId="1" xfId="0" applyFont="1" applyFill="1" applyBorder="1" applyAlignment="1">
      <alignment horizontal="center" vertical="center"/>
    </xf>
    <xf numFmtId="0" fontId="14" fillId="18" borderId="11" xfId="0" applyFont="1" applyFill="1" applyBorder="1" applyAlignment="1">
      <alignment horizontal="center" vertical="center"/>
    </xf>
    <xf numFmtId="0" fontId="13" fillId="18" borderId="26" xfId="0" applyFont="1" applyFill="1" applyBorder="1" applyAlignment="1">
      <alignment horizontal="center" vertical="center"/>
    </xf>
    <xf numFmtId="0" fontId="14" fillId="18" borderId="24" xfId="0" applyFont="1" applyFill="1" applyBorder="1" applyAlignment="1">
      <alignment horizontal="center" vertical="center"/>
    </xf>
    <xf numFmtId="0" fontId="14" fillId="18" borderId="27" xfId="0" applyFont="1" applyFill="1" applyBorder="1" applyAlignment="1">
      <alignment horizontal="center" vertical="center"/>
    </xf>
    <xf numFmtId="0" fontId="4" fillId="20" borderId="0" xfId="0" applyFont="1" applyFill="1" applyAlignment="1">
      <alignment horizontal="center" vertical="center"/>
    </xf>
    <xf numFmtId="0" fontId="13" fillId="2" borderId="48" xfId="0" applyFont="1" applyFill="1" applyBorder="1" applyAlignment="1">
      <alignment horizontal="center" vertical="center" wrapText="1"/>
    </xf>
    <xf numFmtId="0" fontId="13" fillId="7" borderId="43" xfId="0" applyFont="1" applyFill="1" applyBorder="1" applyAlignment="1">
      <alignment horizontal="center" vertical="center" wrapText="1"/>
    </xf>
    <xf numFmtId="0" fontId="13" fillId="6" borderId="43" xfId="0" applyFont="1" applyFill="1" applyBorder="1" applyAlignment="1">
      <alignment horizontal="center" vertical="center" wrapText="1"/>
    </xf>
    <xf numFmtId="0" fontId="13" fillId="15" borderId="43" xfId="0" applyFont="1" applyFill="1" applyBorder="1" applyAlignment="1">
      <alignment horizontal="center" vertical="center" wrapText="1"/>
    </xf>
    <xf numFmtId="0" fontId="13" fillId="17" borderId="43" xfId="0" applyFont="1" applyFill="1" applyBorder="1" applyAlignment="1">
      <alignment horizontal="center" vertical="center" wrapText="1"/>
    </xf>
    <xf numFmtId="0" fontId="14" fillId="19" borderId="43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8" borderId="43" xfId="0" applyFont="1" applyFill="1" applyBorder="1" applyAlignment="1">
      <alignment horizontal="center" vertical="center" wrapText="1"/>
    </xf>
    <xf numFmtId="0" fontId="14" fillId="20" borderId="43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2" fillId="13" borderId="32" xfId="0" applyFont="1" applyFill="1" applyBorder="1" applyAlignment="1" applyProtection="1">
      <alignment horizontal="center" vertical="center" wrapText="1"/>
    </xf>
    <xf numFmtId="0" fontId="12" fillId="12" borderId="32" xfId="0" applyFont="1" applyFill="1" applyBorder="1" applyAlignment="1" applyProtection="1">
      <alignment horizontal="center" vertical="center" wrapText="1"/>
    </xf>
    <xf numFmtId="0" fontId="12" fillId="13" borderId="22" xfId="0" applyFont="1" applyFill="1" applyBorder="1" applyAlignment="1" applyProtection="1">
      <alignment horizontal="center" vertical="center" wrapText="1"/>
    </xf>
    <xf numFmtId="0" fontId="12" fillId="12" borderId="22" xfId="0" applyFont="1" applyFill="1" applyBorder="1" applyAlignment="1" applyProtection="1">
      <alignment horizontal="center" vertical="center" wrapText="1"/>
    </xf>
    <xf numFmtId="14" fontId="12" fillId="13" borderId="22" xfId="0" applyNumberFormat="1" applyFont="1" applyFill="1" applyBorder="1" applyAlignment="1" applyProtection="1">
      <alignment horizontal="center" vertical="center" wrapText="1"/>
    </xf>
    <xf numFmtId="0" fontId="12" fillId="12" borderId="47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2" fillId="0" borderId="0" xfId="0" applyFont="1" applyAlignment="1" applyProtection="1">
      <alignment horizontal="center" vertical="center"/>
    </xf>
    <xf numFmtId="0" fontId="2" fillId="13" borderId="32" xfId="0" applyFont="1" applyFill="1" applyBorder="1" applyAlignment="1" applyProtection="1">
      <alignment horizontal="center" vertical="center" wrapText="1"/>
      <protection hidden="1"/>
    </xf>
    <xf numFmtId="0" fontId="2" fillId="13" borderId="33" xfId="0" applyFont="1" applyFill="1" applyBorder="1" applyAlignment="1" applyProtection="1">
      <alignment horizontal="center" vertical="center" wrapText="1"/>
      <protection hidden="1"/>
    </xf>
    <xf numFmtId="0" fontId="2" fillId="13" borderId="34" xfId="0" applyFont="1" applyFill="1" applyBorder="1" applyAlignment="1" applyProtection="1">
      <alignment horizontal="center" vertical="center" wrapText="1"/>
      <protection hidden="1"/>
    </xf>
    <xf numFmtId="0" fontId="2" fillId="12" borderId="32" xfId="0" applyFont="1" applyFill="1" applyBorder="1" applyAlignment="1" applyProtection="1">
      <alignment horizontal="center" vertical="center" wrapText="1"/>
      <protection hidden="1"/>
    </xf>
    <xf numFmtId="0" fontId="2" fillId="12" borderId="33" xfId="0" applyFont="1" applyFill="1" applyBorder="1" applyAlignment="1" applyProtection="1">
      <alignment horizontal="center" vertical="center" wrapText="1"/>
      <protection hidden="1"/>
    </xf>
    <xf numFmtId="0" fontId="2" fillId="12" borderId="34" xfId="0" applyFont="1" applyFill="1" applyBorder="1" applyAlignment="1" applyProtection="1">
      <alignment horizontal="center" vertical="center" wrapText="1"/>
      <protection hidden="1"/>
    </xf>
    <xf numFmtId="0" fontId="2" fillId="12" borderId="36" xfId="0" applyFont="1" applyFill="1" applyBorder="1" applyAlignment="1" applyProtection="1">
      <alignment horizontal="center" vertical="center" wrapText="1"/>
      <protection hidden="1"/>
    </xf>
    <xf numFmtId="0" fontId="2" fillId="12" borderId="37" xfId="0" applyFont="1" applyFill="1" applyBorder="1" applyAlignment="1" applyProtection="1">
      <alignment horizontal="center" vertical="center" wrapText="1"/>
      <protection hidden="1"/>
    </xf>
    <xf numFmtId="0" fontId="2" fillId="12" borderId="38" xfId="0" applyFont="1" applyFill="1" applyBorder="1" applyAlignment="1" applyProtection="1">
      <alignment horizontal="center" vertical="center" wrapText="1"/>
      <protection hidden="1"/>
    </xf>
    <xf numFmtId="0" fontId="15" fillId="2" borderId="28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5" fillId="2" borderId="29" xfId="0" applyFont="1" applyFill="1" applyBorder="1" applyAlignment="1" applyProtection="1">
      <alignment horizontal="center" vertical="center" wrapText="1"/>
    </xf>
    <xf numFmtId="0" fontId="15" fillId="2" borderId="30" xfId="0" applyFont="1" applyFill="1" applyBorder="1" applyAlignment="1" applyProtection="1">
      <alignment horizontal="center" vertical="center" wrapText="1"/>
    </xf>
    <xf numFmtId="0" fontId="15" fillId="2" borderId="35" xfId="0" applyFont="1" applyFill="1" applyBorder="1" applyAlignment="1" applyProtection="1">
      <alignment horizontal="center" vertical="center" wrapText="1"/>
    </xf>
    <xf numFmtId="0" fontId="15" fillId="2" borderId="31" xfId="0" applyFont="1" applyFill="1" applyBorder="1" applyAlignment="1" applyProtection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0" fillId="6" borderId="0" xfId="0" applyFill="1"/>
    <xf numFmtId="0" fontId="1" fillId="6" borderId="0" xfId="0" applyFont="1" applyFill="1"/>
    <xf numFmtId="0" fontId="7" fillId="11" borderId="2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0" fontId="3" fillId="10" borderId="15" xfId="0" applyFont="1" applyFill="1" applyBorder="1" applyAlignment="1">
      <alignment horizontal="center"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46" xfId="0" applyFont="1" applyFill="1" applyBorder="1" applyAlignment="1">
      <alignment horizontal="center" vertical="center" wrapText="1"/>
    </xf>
    <xf numFmtId="0" fontId="7" fillId="10" borderId="4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0" fontId="3" fillId="10" borderId="32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46" xfId="0" applyFont="1" applyFill="1" applyBorder="1" applyAlignment="1">
      <alignment horizontal="center" vertical="center" wrapText="1"/>
    </xf>
    <xf numFmtId="0" fontId="7" fillId="11" borderId="45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7" fillId="11" borderId="19" xfId="0" applyFont="1" applyFill="1" applyBorder="1" applyAlignment="1">
      <alignment horizontal="center" vertical="center" wrapText="1"/>
    </xf>
    <xf numFmtId="0" fontId="7" fillId="11" borderId="21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8" fillId="8" borderId="37" xfId="0" applyFont="1" applyFill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5" fillId="14" borderId="0" xfId="0" applyFont="1" applyFill="1" applyBorder="1" applyAlignment="1">
      <alignment horizontal="center" vertical="center" wrapText="1"/>
    </xf>
    <xf numFmtId="0" fontId="6" fillId="14" borderId="7" xfId="0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center" vertical="center"/>
    </xf>
    <xf numFmtId="0" fontId="6" fillId="14" borderId="9" xfId="0" applyFont="1" applyFill="1" applyBorder="1" applyAlignment="1">
      <alignment horizontal="center" vertical="center"/>
    </xf>
    <xf numFmtId="0" fontId="6" fillId="14" borderId="39" xfId="0" applyFont="1" applyFill="1" applyBorder="1" applyAlignment="1">
      <alignment horizontal="center"/>
    </xf>
    <xf numFmtId="0" fontId="6" fillId="14" borderId="42" xfId="0" applyFont="1" applyFill="1" applyBorder="1" applyAlignment="1">
      <alignment horizontal="center"/>
    </xf>
    <xf numFmtId="0" fontId="6" fillId="14" borderId="48" xfId="0" applyFont="1" applyFill="1" applyBorder="1" applyAlignment="1">
      <alignment horizontal="center"/>
    </xf>
    <xf numFmtId="0" fontId="6" fillId="14" borderId="8" xfId="0" applyFont="1" applyFill="1" applyBorder="1" applyAlignment="1">
      <alignment horizontal="center"/>
    </xf>
    <xf numFmtId="0" fontId="6" fillId="14" borderId="9" xfId="0" applyFont="1" applyFill="1" applyBorder="1" applyAlignment="1">
      <alignment horizontal="center"/>
    </xf>
    <xf numFmtId="0" fontId="6" fillId="14" borderId="5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2" fillId="7" borderId="50" xfId="0" applyFont="1" applyFill="1" applyBorder="1" applyAlignment="1">
      <alignment horizontal="center" vertical="center" wrapText="1"/>
    </xf>
    <xf numFmtId="0" fontId="2" fillId="7" borderId="40" xfId="0" applyFont="1" applyFill="1" applyBorder="1" applyAlignment="1">
      <alignment horizontal="center" vertical="center" wrapText="1"/>
    </xf>
    <xf numFmtId="0" fontId="2" fillId="15" borderId="40" xfId="0" applyFont="1" applyFill="1" applyBorder="1" applyAlignment="1">
      <alignment horizontal="center" vertical="center" wrapText="1"/>
    </xf>
    <xf numFmtId="0" fontId="2" fillId="17" borderId="40" xfId="0" applyFont="1" applyFill="1" applyBorder="1" applyAlignment="1">
      <alignment horizontal="center" vertical="center" wrapText="1"/>
    </xf>
    <xf numFmtId="0" fontId="2" fillId="16" borderId="40" xfId="0" applyFont="1" applyFill="1" applyBorder="1" applyAlignment="1">
      <alignment horizontal="center" vertical="center" wrapText="1"/>
    </xf>
    <xf numFmtId="0" fontId="2" fillId="8" borderId="40" xfId="0" applyFont="1" applyFill="1" applyBorder="1" applyAlignment="1">
      <alignment horizontal="center" vertical="center" wrapText="1"/>
    </xf>
    <xf numFmtId="0" fontId="2" fillId="18" borderId="40" xfId="0" applyFont="1" applyFill="1" applyBorder="1" applyAlignment="1">
      <alignment horizontal="center" vertical="center" wrapText="1"/>
    </xf>
    <xf numFmtId="0" fontId="2" fillId="18" borderId="41" xfId="0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10" borderId="44" xfId="0" applyFont="1" applyFill="1" applyBorder="1" applyAlignment="1">
      <alignment horizontal="center" vertical="center" wrapText="1"/>
    </xf>
    <xf numFmtId="0" fontId="4" fillId="13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4" fontId="12" fillId="0" borderId="0" xfId="0" applyNumberFormat="1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1" fillId="2" borderId="32" xfId="0" applyFont="1" applyFill="1" applyBorder="1" applyAlignment="1" applyProtection="1">
      <alignment horizontal="center"/>
    </xf>
    <xf numFmtId="0" fontId="11" fillId="2" borderId="33" xfId="0" applyFont="1" applyFill="1" applyBorder="1" applyAlignment="1" applyProtection="1">
      <alignment horizontal="center"/>
    </xf>
    <xf numFmtId="0" fontId="11" fillId="2" borderId="34" xfId="0" applyFont="1" applyFill="1" applyBorder="1" applyAlignment="1" applyProtection="1">
      <alignment horizontal="center"/>
    </xf>
    <xf numFmtId="0" fontId="3" fillId="13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7" fillId="20" borderId="0" xfId="0" applyFont="1" applyFill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11" fillId="6" borderId="0" xfId="0" applyFont="1" applyFill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center"/>
    </xf>
    <xf numFmtId="0" fontId="3" fillId="9" borderId="37" xfId="0" applyFont="1" applyFill="1" applyBorder="1" applyAlignment="1">
      <alignment horizontal="center" vertical="center"/>
    </xf>
    <xf numFmtId="0" fontId="3" fillId="9" borderId="3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center" wrapText="1"/>
    </xf>
  </cellXfs>
  <cellStyles count="1">
    <cellStyle name="Normal" xfId="0" builtinId="0"/>
  </cellStyles>
  <dxfs count="140">
    <dxf>
      <fill>
        <patternFill>
          <bgColor rgb="FFFFFF00"/>
        </patternFill>
      </fill>
    </dxf>
    <dxf>
      <numFmt numFmtId="164" formatCode="\ 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CC00"/>
      <color rgb="FF00CC00"/>
      <color rgb="FFFFCC00"/>
      <color rgb="FF00CC99"/>
      <color rgb="FF9999FF"/>
      <color rgb="FF66FF33"/>
      <color rgb="FF00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4"/>
  <sheetViews>
    <sheetView zoomScale="70" zoomScaleNormal="70" workbookViewId="0">
      <pane xSplit="1" topLeftCell="B1" activePane="topRight" state="frozen"/>
      <selection activeCell="A70" sqref="A70"/>
      <selection pane="topRight" activeCell="A37" sqref="A1:K40"/>
    </sheetView>
  </sheetViews>
  <sheetFormatPr baseColWidth="10" defaultRowHeight="15"/>
  <cols>
    <col min="1" max="1" width="21" style="1" customWidth="1"/>
    <col min="2" max="2" width="17.5703125" style="1" bestFit="1" customWidth="1"/>
    <col min="3" max="3" width="54.85546875" style="1" bestFit="1" customWidth="1"/>
    <col min="4" max="4" width="25.85546875" bestFit="1" customWidth="1"/>
    <col min="5" max="5" width="6.85546875" style="2" bestFit="1" customWidth="1"/>
    <col min="6" max="6" width="9.140625" bestFit="1" customWidth="1"/>
    <col min="7" max="7" width="1.28515625" customWidth="1"/>
    <col min="8" max="8" width="62.28515625" customWidth="1"/>
    <col min="9" max="9" width="25.85546875" bestFit="1" customWidth="1"/>
    <col min="10" max="10" width="6.85546875" bestFit="1" customWidth="1"/>
    <col min="11" max="11" width="7.5703125" bestFit="1" customWidth="1"/>
  </cols>
  <sheetData>
    <row r="1" spans="1:11" ht="36">
      <c r="A1" s="245" t="s">
        <v>135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36">
      <c r="A2" s="246" t="s">
        <v>136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</row>
    <row r="3" spans="1:11" ht="36">
      <c r="A3" s="246" t="s">
        <v>137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</row>
    <row r="4" spans="1:11" ht="46.5">
      <c r="A4" s="247" t="s">
        <v>270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</row>
    <row r="5" spans="1:11" ht="8.25" customHeight="1" thickBot="1"/>
    <row r="6" spans="1:11" ht="44.25" customHeight="1" thickBot="1">
      <c r="A6" s="7"/>
      <c r="B6" s="248" t="s">
        <v>10</v>
      </c>
      <c r="C6" s="251" t="s">
        <v>222</v>
      </c>
      <c r="D6" s="251"/>
      <c r="E6" s="251"/>
      <c r="F6" s="251"/>
      <c r="G6" s="251"/>
      <c r="H6" s="251"/>
      <c r="I6" s="251"/>
      <c r="J6" s="251"/>
      <c r="K6" s="252"/>
    </row>
    <row r="7" spans="1:11" ht="44.25" customHeight="1" thickBot="1">
      <c r="A7" s="7"/>
      <c r="B7" s="249"/>
      <c r="C7" s="251" t="s">
        <v>224</v>
      </c>
      <c r="D7" s="251"/>
      <c r="E7" s="251"/>
      <c r="F7" s="252"/>
      <c r="G7" s="68"/>
      <c r="H7" s="253" t="s">
        <v>3</v>
      </c>
      <c r="I7" s="251"/>
      <c r="J7" s="251"/>
      <c r="K7" s="252"/>
    </row>
    <row r="8" spans="1:11" ht="42.75" thickBot="1">
      <c r="A8" s="8"/>
      <c r="B8" s="250"/>
      <c r="C8" s="69" t="s">
        <v>5</v>
      </c>
      <c r="D8" s="65" t="s">
        <v>7</v>
      </c>
      <c r="E8" s="65" t="s">
        <v>8</v>
      </c>
      <c r="F8" s="65" t="s">
        <v>6</v>
      </c>
      <c r="G8" s="22"/>
      <c r="H8" s="67" t="s">
        <v>5</v>
      </c>
      <c r="I8" s="67" t="s">
        <v>7</v>
      </c>
      <c r="J8" s="65" t="s">
        <v>8</v>
      </c>
      <c r="K8" s="65" t="s">
        <v>6</v>
      </c>
    </row>
    <row r="9" spans="1:11" ht="51.75" customHeight="1">
      <c r="A9" s="243" t="s">
        <v>279</v>
      </c>
      <c r="B9" s="10"/>
      <c r="C9" s="18"/>
      <c r="D9" s="13"/>
      <c r="E9" s="13"/>
      <c r="F9" s="14"/>
      <c r="G9" s="5"/>
      <c r="H9" s="18"/>
      <c r="I9" s="13"/>
      <c r="J9" s="13"/>
      <c r="K9" s="14"/>
    </row>
    <row r="10" spans="1:11" ht="32.1" customHeight="1">
      <c r="A10" s="244"/>
      <c r="B10" s="226"/>
      <c r="C10" s="229"/>
      <c r="D10" s="232"/>
      <c r="E10" s="71"/>
      <c r="F10" s="15"/>
      <c r="G10" s="4"/>
      <c r="H10" s="229"/>
      <c r="I10" s="232"/>
      <c r="J10" s="71"/>
      <c r="K10" s="15"/>
    </row>
    <row r="11" spans="1:11" ht="32.1" customHeight="1">
      <c r="A11" s="244"/>
      <c r="B11" s="227"/>
      <c r="C11" s="230"/>
      <c r="D11" s="233"/>
      <c r="E11" s="71"/>
      <c r="F11" s="15"/>
      <c r="G11" s="19"/>
      <c r="H11" s="230"/>
      <c r="I11" s="233"/>
      <c r="J11" s="71"/>
      <c r="K11" s="15"/>
    </row>
    <row r="12" spans="1:11" ht="21.75" customHeight="1" thickBot="1">
      <c r="A12" s="244"/>
      <c r="B12" s="228"/>
      <c r="C12" s="231"/>
      <c r="D12" s="234"/>
      <c r="E12" s="71"/>
      <c r="F12" s="15"/>
      <c r="G12" s="4"/>
      <c r="H12" s="231"/>
      <c r="I12" s="234"/>
      <c r="J12" s="71"/>
      <c r="K12" s="15"/>
    </row>
    <row r="13" spans="1:11" ht="42">
      <c r="A13" s="243" t="s">
        <v>276</v>
      </c>
      <c r="B13" s="10" t="s">
        <v>11</v>
      </c>
      <c r="C13" s="18" t="s">
        <v>234</v>
      </c>
      <c r="D13" s="13" t="s">
        <v>49</v>
      </c>
      <c r="E13" s="74"/>
      <c r="F13" s="75"/>
      <c r="G13" s="3"/>
      <c r="H13" s="18" t="s">
        <v>238</v>
      </c>
      <c r="I13" s="74"/>
      <c r="J13" s="74"/>
      <c r="K13" s="75"/>
    </row>
    <row r="14" spans="1:11" ht="32.1" customHeight="1">
      <c r="A14" s="244"/>
      <c r="B14" s="226" t="s">
        <v>223</v>
      </c>
      <c r="C14" s="229" t="s">
        <v>225</v>
      </c>
      <c r="D14" s="232" t="s">
        <v>31</v>
      </c>
      <c r="E14" s="76"/>
      <c r="F14" s="77"/>
      <c r="G14" s="4"/>
      <c r="H14" s="229" t="s">
        <v>238</v>
      </c>
      <c r="I14" s="220"/>
      <c r="J14" s="76"/>
      <c r="K14" s="77"/>
    </row>
    <row r="15" spans="1:11" ht="32.1" customHeight="1">
      <c r="A15" s="244"/>
      <c r="B15" s="227"/>
      <c r="C15" s="230"/>
      <c r="D15" s="233"/>
      <c r="E15" s="76"/>
      <c r="F15" s="77"/>
      <c r="G15" s="19"/>
      <c r="H15" s="230"/>
      <c r="I15" s="221"/>
      <c r="J15" s="76"/>
      <c r="K15" s="77"/>
    </row>
    <row r="16" spans="1:11" ht="41.25" customHeight="1" thickBot="1">
      <c r="A16" s="244"/>
      <c r="B16" s="228"/>
      <c r="C16" s="231"/>
      <c r="D16" s="234"/>
      <c r="E16" s="76"/>
      <c r="F16" s="77"/>
      <c r="G16" s="78"/>
      <c r="H16" s="231"/>
      <c r="I16" s="222"/>
      <c r="J16" s="76"/>
      <c r="K16" s="77"/>
    </row>
    <row r="17" spans="1:11" ht="21">
      <c r="A17" s="235" t="s">
        <v>264</v>
      </c>
      <c r="B17" s="11" t="s">
        <v>11</v>
      </c>
      <c r="C17" s="73" t="s">
        <v>233</v>
      </c>
      <c r="D17" s="74" t="s">
        <v>84</v>
      </c>
      <c r="E17" s="13"/>
      <c r="F17" s="14"/>
      <c r="G17" s="3"/>
      <c r="H17" s="18"/>
      <c r="I17" s="13"/>
      <c r="J17" s="13"/>
      <c r="K17" s="14"/>
    </row>
    <row r="18" spans="1:11" ht="32.1" customHeight="1">
      <c r="A18" s="236"/>
      <c r="B18" s="240" t="s">
        <v>223</v>
      </c>
      <c r="C18" s="237" t="s">
        <v>226</v>
      </c>
      <c r="D18" s="220" t="s">
        <v>110</v>
      </c>
      <c r="E18" s="71"/>
      <c r="F18" s="15"/>
      <c r="G18" s="4"/>
      <c r="H18" s="229"/>
      <c r="I18" s="232"/>
      <c r="J18" s="71"/>
      <c r="K18" s="15"/>
    </row>
    <row r="19" spans="1:11" ht="32.1" customHeight="1">
      <c r="A19" s="236"/>
      <c r="B19" s="241"/>
      <c r="C19" s="238"/>
      <c r="D19" s="221"/>
      <c r="E19" s="71"/>
      <c r="F19" s="15"/>
      <c r="G19" s="19"/>
      <c r="H19" s="230"/>
      <c r="I19" s="233"/>
      <c r="J19" s="71"/>
      <c r="K19" s="15"/>
    </row>
    <row r="20" spans="1:11" ht="32.1" customHeight="1" thickBot="1">
      <c r="A20" s="236"/>
      <c r="B20" s="242"/>
      <c r="C20" s="239"/>
      <c r="D20" s="222"/>
      <c r="E20" s="71"/>
      <c r="F20" s="15"/>
      <c r="G20" s="4"/>
      <c r="H20" s="231"/>
      <c r="I20" s="234"/>
      <c r="J20" s="71"/>
      <c r="K20" s="15"/>
    </row>
    <row r="21" spans="1:11" ht="32.1" customHeight="1">
      <c r="A21" s="243" t="s">
        <v>265</v>
      </c>
      <c r="B21" s="63" t="s">
        <v>11</v>
      </c>
      <c r="C21" s="73" t="s">
        <v>232</v>
      </c>
      <c r="D21" s="74" t="s">
        <v>54</v>
      </c>
      <c r="E21" s="74"/>
      <c r="F21" s="75"/>
      <c r="G21" s="3"/>
      <c r="H21" s="73"/>
      <c r="I21" s="74"/>
      <c r="J21" s="74"/>
      <c r="K21" s="75"/>
    </row>
    <row r="22" spans="1:11" ht="32.1" customHeight="1">
      <c r="A22" s="244"/>
      <c r="B22" s="240" t="s">
        <v>223</v>
      </c>
      <c r="C22" s="237" t="s">
        <v>232</v>
      </c>
      <c r="D22" s="220" t="s">
        <v>54</v>
      </c>
      <c r="E22" s="76"/>
      <c r="F22" s="77"/>
      <c r="G22" s="4"/>
      <c r="H22" s="237"/>
      <c r="I22" s="220"/>
      <c r="J22" s="76"/>
      <c r="K22" s="77"/>
    </row>
    <row r="23" spans="1:11" ht="32.1" customHeight="1">
      <c r="A23" s="244"/>
      <c r="B23" s="241"/>
      <c r="C23" s="238"/>
      <c r="D23" s="221"/>
      <c r="E23" s="76"/>
      <c r="F23" s="77"/>
      <c r="G23" s="19"/>
      <c r="H23" s="238"/>
      <c r="I23" s="221"/>
      <c r="J23" s="76"/>
      <c r="K23" s="77"/>
    </row>
    <row r="24" spans="1:11" ht="32.1" customHeight="1" thickBot="1">
      <c r="A24" s="244"/>
      <c r="B24" s="242"/>
      <c r="C24" s="239"/>
      <c r="D24" s="222"/>
      <c r="E24" s="76"/>
      <c r="F24" s="77"/>
      <c r="G24" s="4"/>
      <c r="H24" s="239"/>
      <c r="I24" s="222"/>
      <c r="J24" s="76"/>
      <c r="K24" s="77"/>
    </row>
    <row r="25" spans="1:11" ht="32.1" customHeight="1">
      <c r="A25" s="223" t="s">
        <v>266</v>
      </c>
      <c r="B25" s="10" t="s">
        <v>11</v>
      </c>
      <c r="C25" s="18" t="s">
        <v>229</v>
      </c>
      <c r="D25" s="13" t="s">
        <v>38</v>
      </c>
      <c r="E25" s="13"/>
      <c r="F25" s="14"/>
      <c r="G25" s="3"/>
      <c r="H25" s="18"/>
      <c r="I25" s="13"/>
      <c r="J25" s="13"/>
      <c r="K25" s="14"/>
    </row>
    <row r="26" spans="1:11" ht="32.1" customHeight="1">
      <c r="A26" s="224"/>
      <c r="B26" s="226" t="s">
        <v>223</v>
      </c>
      <c r="C26" s="229" t="s">
        <v>229</v>
      </c>
      <c r="D26" s="232" t="s">
        <v>38</v>
      </c>
      <c r="E26" s="71"/>
      <c r="F26" s="15"/>
      <c r="G26" s="4"/>
      <c r="H26" s="229"/>
      <c r="I26" s="232"/>
      <c r="J26" s="71"/>
      <c r="K26" s="15"/>
    </row>
    <row r="27" spans="1:11" ht="32.1" customHeight="1">
      <c r="A27" s="224"/>
      <c r="B27" s="227"/>
      <c r="C27" s="230"/>
      <c r="D27" s="233"/>
      <c r="E27" s="71"/>
      <c r="F27" s="15"/>
      <c r="G27" s="19"/>
      <c r="H27" s="230"/>
      <c r="I27" s="233"/>
      <c r="J27" s="71"/>
      <c r="K27" s="15"/>
    </row>
    <row r="28" spans="1:11" ht="32.1" customHeight="1" thickBot="1">
      <c r="A28" s="224"/>
      <c r="B28" s="228"/>
      <c r="C28" s="231"/>
      <c r="D28" s="234"/>
      <c r="E28" s="71"/>
      <c r="F28" s="15"/>
      <c r="G28" s="4"/>
      <c r="H28" s="231"/>
      <c r="I28" s="234"/>
      <c r="J28" s="71"/>
      <c r="K28" s="15"/>
    </row>
    <row r="29" spans="1:11" ht="32.1" customHeight="1">
      <c r="A29" s="243" t="s">
        <v>267</v>
      </c>
      <c r="B29" s="11" t="s">
        <v>11</v>
      </c>
      <c r="C29" s="73" t="s">
        <v>235</v>
      </c>
      <c r="D29" s="74" t="s">
        <v>278</v>
      </c>
      <c r="E29" s="74"/>
      <c r="F29" s="75"/>
      <c r="G29" s="3"/>
      <c r="H29" s="73"/>
      <c r="I29" s="74"/>
      <c r="J29" s="74"/>
      <c r="K29" s="75"/>
    </row>
    <row r="30" spans="1:11" ht="32.1" customHeight="1">
      <c r="A30" s="244"/>
      <c r="B30" s="240" t="s">
        <v>223</v>
      </c>
      <c r="C30" s="237" t="s">
        <v>230</v>
      </c>
      <c r="D30" s="220" t="s">
        <v>32</v>
      </c>
      <c r="E30" s="76"/>
      <c r="F30" s="77"/>
      <c r="G30" s="4"/>
      <c r="H30" s="237"/>
      <c r="I30" s="220"/>
      <c r="J30" s="76"/>
      <c r="K30" s="77"/>
    </row>
    <row r="31" spans="1:11" ht="32.1" customHeight="1">
      <c r="A31" s="244"/>
      <c r="B31" s="241"/>
      <c r="C31" s="238"/>
      <c r="D31" s="221"/>
      <c r="E31" s="76"/>
      <c r="F31" s="77"/>
      <c r="G31" s="19"/>
      <c r="H31" s="238"/>
      <c r="I31" s="221"/>
      <c r="J31" s="76"/>
      <c r="K31" s="77"/>
    </row>
    <row r="32" spans="1:11" ht="32.1" customHeight="1" thickBot="1">
      <c r="A32" s="244"/>
      <c r="B32" s="242"/>
      <c r="C32" s="239"/>
      <c r="D32" s="222"/>
      <c r="E32" s="76"/>
      <c r="F32" s="77"/>
      <c r="G32" s="4"/>
      <c r="H32" s="239"/>
      <c r="I32" s="222"/>
      <c r="J32" s="76"/>
      <c r="K32" s="77"/>
    </row>
    <row r="33" spans="1:11" ht="32.1" customHeight="1">
      <c r="A33" s="223" t="s">
        <v>268</v>
      </c>
      <c r="B33" s="10" t="s">
        <v>11</v>
      </c>
      <c r="C33" s="18" t="s">
        <v>231</v>
      </c>
      <c r="D33" s="13" t="s">
        <v>36</v>
      </c>
      <c r="E33" s="13"/>
      <c r="F33" s="14"/>
      <c r="G33" s="3"/>
      <c r="H33" s="18"/>
      <c r="I33" s="13"/>
      <c r="J33" s="13"/>
      <c r="K33" s="14"/>
    </row>
    <row r="34" spans="1:11" ht="32.1" customHeight="1">
      <c r="A34" s="224"/>
      <c r="B34" s="226" t="s">
        <v>223</v>
      </c>
      <c r="C34" s="229" t="s">
        <v>231</v>
      </c>
      <c r="D34" s="232" t="s">
        <v>36</v>
      </c>
      <c r="E34" s="71"/>
      <c r="F34" s="15"/>
      <c r="G34" s="4"/>
      <c r="H34" s="229"/>
      <c r="I34" s="232"/>
      <c r="J34" s="71"/>
      <c r="K34" s="15"/>
    </row>
    <row r="35" spans="1:11" ht="32.1" customHeight="1">
      <c r="A35" s="224"/>
      <c r="B35" s="227"/>
      <c r="C35" s="230"/>
      <c r="D35" s="233"/>
      <c r="E35" s="71"/>
      <c r="F35" s="15"/>
      <c r="G35" s="19"/>
      <c r="H35" s="230"/>
      <c r="I35" s="233"/>
      <c r="J35" s="71"/>
      <c r="K35" s="15"/>
    </row>
    <row r="36" spans="1:11" ht="32.1" customHeight="1" thickBot="1">
      <c r="A36" s="225"/>
      <c r="B36" s="228"/>
      <c r="C36" s="231"/>
      <c r="D36" s="234"/>
      <c r="E36" s="72"/>
      <c r="F36" s="17"/>
      <c r="G36" s="4"/>
      <c r="H36" s="231"/>
      <c r="I36" s="234"/>
      <c r="J36" s="72"/>
      <c r="K36" s="17"/>
    </row>
    <row r="37" spans="1:11" ht="21" customHeight="1">
      <c r="A37" s="235" t="s">
        <v>269</v>
      </c>
      <c r="B37" s="10" t="s">
        <v>11</v>
      </c>
      <c r="C37" s="18" t="s">
        <v>236</v>
      </c>
      <c r="D37" s="13" t="s">
        <v>277</v>
      </c>
      <c r="E37" s="74"/>
      <c r="F37" s="75"/>
      <c r="G37" s="3"/>
      <c r="H37" s="73"/>
      <c r="I37" s="74"/>
      <c r="J37" s="74"/>
      <c r="K37" s="75"/>
    </row>
    <row r="38" spans="1:11" ht="21" customHeight="1">
      <c r="A38" s="236"/>
      <c r="B38" s="226" t="s">
        <v>223</v>
      </c>
      <c r="C38" s="229" t="s">
        <v>227</v>
      </c>
      <c r="D38" s="232" t="s">
        <v>274</v>
      </c>
      <c r="E38" s="76"/>
      <c r="F38" s="77"/>
      <c r="G38" s="4"/>
      <c r="H38" s="237"/>
      <c r="I38" s="220"/>
      <c r="J38" s="76"/>
      <c r="K38" s="77"/>
    </row>
    <row r="39" spans="1:11" ht="21" customHeight="1">
      <c r="A39" s="236"/>
      <c r="B39" s="227"/>
      <c r="C39" s="230"/>
      <c r="D39" s="233"/>
      <c r="E39" s="76"/>
      <c r="F39" s="77"/>
      <c r="G39" s="19"/>
      <c r="H39" s="238"/>
      <c r="I39" s="221"/>
      <c r="J39" s="76"/>
      <c r="K39" s="77"/>
    </row>
    <row r="40" spans="1:11" ht="21.75" customHeight="1" thickBot="1">
      <c r="A40" s="236"/>
      <c r="B40" s="228"/>
      <c r="C40" s="231"/>
      <c r="D40" s="234"/>
      <c r="E40" s="76"/>
      <c r="F40" s="77"/>
      <c r="G40" s="4"/>
      <c r="H40" s="239"/>
      <c r="I40" s="222"/>
      <c r="J40" s="76"/>
      <c r="K40" s="77"/>
    </row>
    <row r="41" spans="1:11" ht="21">
      <c r="A41" s="223"/>
      <c r="B41" s="10"/>
      <c r="C41" s="18"/>
      <c r="D41" s="13"/>
      <c r="E41" s="13"/>
      <c r="F41" s="14"/>
      <c r="G41" s="3"/>
      <c r="H41" s="18"/>
      <c r="I41" s="13"/>
      <c r="J41" s="13"/>
      <c r="K41" s="14"/>
    </row>
    <row r="42" spans="1:11" ht="21">
      <c r="A42" s="224"/>
      <c r="B42" s="226"/>
      <c r="C42" s="229"/>
      <c r="D42" s="232"/>
      <c r="E42" s="216"/>
      <c r="F42" s="15"/>
      <c r="G42" s="4"/>
      <c r="H42" s="229"/>
      <c r="I42" s="232"/>
      <c r="J42" s="216"/>
      <c r="K42" s="15"/>
    </row>
    <row r="43" spans="1:11" ht="21">
      <c r="A43" s="224"/>
      <c r="B43" s="227"/>
      <c r="C43" s="230"/>
      <c r="D43" s="233"/>
      <c r="E43" s="216"/>
      <c r="F43" s="15"/>
      <c r="G43" s="19"/>
      <c r="H43" s="230"/>
      <c r="I43" s="233"/>
      <c r="J43" s="216"/>
      <c r="K43" s="15"/>
    </row>
    <row r="44" spans="1:11" ht="21.75" thickBot="1">
      <c r="A44" s="225"/>
      <c r="B44" s="228"/>
      <c r="C44" s="231"/>
      <c r="D44" s="234"/>
      <c r="E44" s="217"/>
      <c r="F44" s="17"/>
      <c r="G44" s="4"/>
      <c r="H44" s="231"/>
      <c r="I44" s="234"/>
      <c r="J44" s="217"/>
      <c r="K44" s="17"/>
    </row>
  </sheetData>
  <mergeCells count="62">
    <mergeCell ref="A13:A16"/>
    <mergeCell ref="A9:A12"/>
    <mergeCell ref="A1:K1"/>
    <mergeCell ref="A2:K2"/>
    <mergeCell ref="A3:K3"/>
    <mergeCell ref="A4:K4"/>
    <mergeCell ref="B6:B8"/>
    <mergeCell ref="C6:K6"/>
    <mergeCell ref="C7:F7"/>
    <mergeCell ref="H7:K7"/>
    <mergeCell ref="B10:B12"/>
    <mergeCell ref="H10:H12"/>
    <mergeCell ref="I10:I12"/>
    <mergeCell ref="C14:C16"/>
    <mergeCell ref="D14:D16"/>
    <mergeCell ref="H14:H16"/>
    <mergeCell ref="A33:A36"/>
    <mergeCell ref="A29:A32"/>
    <mergeCell ref="A25:A28"/>
    <mergeCell ref="A21:A24"/>
    <mergeCell ref="A17:A20"/>
    <mergeCell ref="C22:C24"/>
    <mergeCell ref="D22:D24"/>
    <mergeCell ref="H22:H24"/>
    <mergeCell ref="I22:I24"/>
    <mergeCell ref="C10:C12"/>
    <mergeCell ref="D10:D12"/>
    <mergeCell ref="I14:I16"/>
    <mergeCell ref="C18:C20"/>
    <mergeCell ref="D18:D20"/>
    <mergeCell ref="H18:H20"/>
    <mergeCell ref="I18:I20"/>
    <mergeCell ref="C26:C28"/>
    <mergeCell ref="D26:D28"/>
    <mergeCell ref="H26:H28"/>
    <mergeCell ref="I26:I28"/>
    <mergeCell ref="C30:C32"/>
    <mergeCell ref="D30:D32"/>
    <mergeCell ref="H30:H32"/>
    <mergeCell ref="I30:I32"/>
    <mergeCell ref="B34:B36"/>
    <mergeCell ref="C34:C36"/>
    <mergeCell ref="D34:D36"/>
    <mergeCell ref="H34:H36"/>
    <mergeCell ref="I34:I36"/>
    <mergeCell ref="B14:B16"/>
    <mergeCell ref="B18:B20"/>
    <mergeCell ref="B22:B24"/>
    <mergeCell ref="B26:B28"/>
    <mergeCell ref="B30:B32"/>
    <mergeCell ref="I38:I40"/>
    <mergeCell ref="A41:A44"/>
    <mergeCell ref="B42:B44"/>
    <mergeCell ref="C42:C44"/>
    <mergeCell ref="D42:D44"/>
    <mergeCell ref="H42:H44"/>
    <mergeCell ref="I42:I44"/>
    <mergeCell ref="A37:A40"/>
    <mergeCell ref="B38:B40"/>
    <mergeCell ref="C38:C40"/>
    <mergeCell ref="D38:D40"/>
    <mergeCell ref="H38:H40"/>
  </mergeCells>
  <printOptions horizontalCentered="1" verticalCentered="1"/>
  <pageMargins left="0" right="0" top="0" bottom="0" header="0" footer="0"/>
  <pageSetup paperSize="9" scale="4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299"/>
  <sheetViews>
    <sheetView zoomScale="70" zoomScaleNormal="70" workbookViewId="0">
      <pane ySplit="1" topLeftCell="A67" activePane="bottomLeft" state="frozen"/>
      <selection pane="bottomLeft" activeCell="C90" sqref="C90"/>
    </sheetView>
  </sheetViews>
  <sheetFormatPr baseColWidth="10" defaultRowHeight="15"/>
  <cols>
    <col min="1" max="1" width="21.140625" style="1" customWidth="1"/>
    <col min="2" max="2" width="20.85546875" style="7" bestFit="1" customWidth="1"/>
    <col min="3" max="3" width="19.85546875" bestFit="1" customWidth="1"/>
    <col min="4" max="4" width="43.140625" style="2" customWidth="1"/>
    <col min="5" max="5" width="15" customWidth="1"/>
    <col min="6" max="6" width="5.7109375" style="2" customWidth="1"/>
    <col min="7" max="7" width="8.7109375" customWidth="1"/>
    <col min="8" max="8" width="14.5703125" customWidth="1"/>
    <col min="9" max="9" width="16.28515625" customWidth="1"/>
    <col min="10" max="10" width="18.42578125" bestFit="1" customWidth="1"/>
    <col min="11" max="11" width="42" style="7" customWidth="1"/>
    <col min="12" max="12" width="15.140625" customWidth="1"/>
    <col min="13" max="13" width="5.7109375" customWidth="1"/>
    <col min="14" max="14" width="8.7109375" style="2" customWidth="1"/>
    <col min="15" max="15" width="14.28515625" customWidth="1"/>
    <col min="16" max="16" width="16.28515625" customWidth="1"/>
    <col min="17" max="17" width="15.28515625" customWidth="1"/>
    <col min="18" max="18" width="38.85546875" style="7" customWidth="1"/>
    <col min="19" max="19" width="17.140625" customWidth="1"/>
    <col min="20" max="20" width="5.7109375" customWidth="1"/>
    <col min="21" max="21" width="8.7109375" style="2" customWidth="1"/>
    <col min="22" max="22" width="14.28515625" customWidth="1"/>
    <col min="23" max="23" width="16.7109375" customWidth="1"/>
    <col min="24" max="24" width="15" style="2" customWidth="1"/>
    <col min="25" max="25" width="51.5703125" style="2" customWidth="1"/>
    <col min="26" max="26" width="13.7109375" style="2" customWidth="1"/>
    <col min="27" max="27" width="5.7109375" style="2" customWidth="1"/>
    <col min="28" max="28" width="8.7109375" style="2" customWidth="1"/>
    <col min="29" max="29" width="14.28515625" style="2" customWidth="1"/>
    <col min="30" max="30" width="16.7109375" style="2" customWidth="1"/>
  </cols>
  <sheetData>
    <row r="1" spans="1:30" ht="31.5">
      <c r="A1" s="82"/>
      <c r="B1" s="254"/>
      <c r="C1" s="258" t="s">
        <v>0</v>
      </c>
      <c r="D1" s="259"/>
      <c r="E1" s="259"/>
      <c r="F1" s="259"/>
      <c r="G1" s="259"/>
      <c r="H1" s="259"/>
      <c r="I1" s="263"/>
      <c r="J1" s="258" t="s">
        <v>224</v>
      </c>
      <c r="K1" s="259"/>
      <c r="L1" s="259"/>
      <c r="M1" s="259"/>
      <c r="N1" s="259"/>
      <c r="O1" s="259"/>
      <c r="P1" s="260"/>
      <c r="Q1" s="261" t="s">
        <v>178</v>
      </c>
      <c r="R1" s="261"/>
      <c r="S1" s="261"/>
      <c r="T1" s="261"/>
      <c r="U1" s="261"/>
      <c r="V1" s="261"/>
      <c r="W1" s="262"/>
      <c r="X1" s="255" t="s">
        <v>3</v>
      </c>
      <c r="Y1" s="256"/>
      <c r="Z1" s="256"/>
      <c r="AA1" s="256"/>
      <c r="AB1" s="256"/>
      <c r="AC1" s="256"/>
      <c r="AD1" s="257"/>
    </row>
    <row r="2" spans="1:30" ht="31.5" customHeight="1" thickBot="1">
      <c r="A2" s="82"/>
      <c r="B2" s="254"/>
      <c r="C2" s="83" t="s">
        <v>4</v>
      </c>
      <c r="D2" s="84" t="s">
        <v>5</v>
      </c>
      <c r="E2" s="84" t="s">
        <v>7</v>
      </c>
      <c r="F2" s="84" t="s">
        <v>8</v>
      </c>
      <c r="G2" s="84" t="s">
        <v>6</v>
      </c>
      <c r="H2" s="84" t="s">
        <v>20</v>
      </c>
      <c r="I2" s="85" t="s">
        <v>10</v>
      </c>
      <c r="J2" s="83" t="s">
        <v>4</v>
      </c>
      <c r="K2" s="84" t="s">
        <v>5</v>
      </c>
      <c r="L2" s="84" t="s">
        <v>7</v>
      </c>
      <c r="M2" s="84" t="s">
        <v>8</v>
      </c>
      <c r="N2" s="84" t="s">
        <v>6</v>
      </c>
      <c r="O2" s="84" t="s">
        <v>20</v>
      </c>
      <c r="P2" s="84" t="s">
        <v>10</v>
      </c>
      <c r="Q2" s="84" t="s">
        <v>4</v>
      </c>
      <c r="R2" s="84" t="s">
        <v>5</v>
      </c>
      <c r="S2" s="84" t="s">
        <v>7</v>
      </c>
      <c r="T2" s="84" t="s">
        <v>8</v>
      </c>
      <c r="U2" s="84" t="s">
        <v>6</v>
      </c>
      <c r="V2" s="84" t="s">
        <v>20</v>
      </c>
      <c r="W2" s="85" t="s">
        <v>10</v>
      </c>
      <c r="X2" s="83" t="s">
        <v>4</v>
      </c>
      <c r="Y2" s="84" t="s">
        <v>5</v>
      </c>
      <c r="Z2" s="84" t="s">
        <v>7</v>
      </c>
      <c r="AA2" s="84" t="s">
        <v>8</v>
      </c>
      <c r="AB2" s="84" t="s">
        <v>6</v>
      </c>
      <c r="AC2" s="84" t="s">
        <v>20</v>
      </c>
      <c r="AD2" s="85" t="s">
        <v>10</v>
      </c>
    </row>
    <row r="3" spans="1:30" s="64" customFormat="1" ht="15.75" customHeight="1" thickBot="1">
      <c r="A3" s="264" t="s">
        <v>279</v>
      </c>
      <c r="B3" s="86" t="s">
        <v>239</v>
      </c>
      <c r="C3" s="88"/>
      <c r="D3" s="127"/>
      <c r="E3" s="89"/>
      <c r="F3" s="97"/>
      <c r="G3" s="97" t="s">
        <v>291</v>
      </c>
      <c r="H3" s="89"/>
      <c r="I3" s="89"/>
      <c r="J3" s="88"/>
      <c r="K3" s="172">
        <f>'2 Licence'!C9</f>
        <v>0</v>
      </c>
      <c r="L3" s="89"/>
      <c r="M3" s="97"/>
      <c r="N3" s="97" t="s">
        <v>291</v>
      </c>
      <c r="O3" s="89"/>
      <c r="P3" s="90" t="s">
        <v>262</v>
      </c>
      <c r="Q3" s="88"/>
      <c r="R3" s="172"/>
      <c r="S3" s="89"/>
      <c r="T3" s="90"/>
      <c r="U3" s="90"/>
      <c r="V3" s="89"/>
      <c r="W3" s="89"/>
      <c r="X3" s="139" t="s">
        <v>49</v>
      </c>
      <c r="Y3" s="127">
        <f>'2 Licence'!H9</f>
        <v>0</v>
      </c>
      <c r="Z3" s="90" t="s">
        <v>49</v>
      </c>
      <c r="AA3" s="90"/>
      <c r="AB3" s="90" t="s">
        <v>262</v>
      </c>
      <c r="AC3" s="90"/>
      <c r="AD3" s="140"/>
    </row>
    <row r="4" spans="1:30" s="64" customFormat="1" ht="17.25" customHeight="1">
      <c r="A4" s="265"/>
      <c r="B4" s="267" t="s">
        <v>240</v>
      </c>
      <c r="C4" s="91"/>
      <c r="D4" s="128"/>
      <c r="E4" s="92"/>
      <c r="F4" s="100"/>
      <c r="G4" s="100"/>
      <c r="H4" s="92"/>
      <c r="I4" s="92"/>
      <c r="J4" s="91"/>
      <c r="K4" s="173">
        <f>'2 Licence'!C10</f>
        <v>0</v>
      </c>
      <c r="L4" s="92"/>
      <c r="M4" s="100"/>
      <c r="N4" s="100"/>
      <c r="O4" s="92"/>
      <c r="P4" s="87" t="s">
        <v>263</v>
      </c>
      <c r="Q4" s="91"/>
      <c r="R4" s="173"/>
      <c r="S4" s="92"/>
      <c r="T4" s="87" t="s">
        <v>250</v>
      </c>
      <c r="U4" s="87"/>
      <c r="V4" s="92"/>
      <c r="W4" s="92"/>
      <c r="X4" s="141"/>
      <c r="Y4" s="128">
        <f>'2 Licence'!H10</f>
        <v>0</v>
      </c>
      <c r="Z4" s="87" t="s">
        <v>49</v>
      </c>
      <c r="AA4" s="87" t="s">
        <v>250</v>
      </c>
      <c r="AB4" s="87" t="s">
        <v>263</v>
      </c>
      <c r="AC4" s="87"/>
      <c r="AD4" s="142"/>
    </row>
    <row r="5" spans="1:30" s="64" customFormat="1" ht="15.75" customHeight="1">
      <c r="A5" s="265"/>
      <c r="B5" s="268"/>
      <c r="C5" s="93"/>
      <c r="D5" s="128">
        <f>D4</f>
        <v>0</v>
      </c>
      <c r="E5" s="92">
        <f>E4</f>
        <v>0</v>
      </c>
      <c r="F5" s="100"/>
      <c r="G5" s="100"/>
      <c r="H5" s="92"/>
      <c r="I5" s="92"/>
      <c r="J5" s="93"/>
      <c r="K5" s="173">
        <f>K4</f>
        <v>0</v>
      </c>
      <c r="L5" s="92">
        <f>L4</f>
        <v>0</v>
      </c>
      <c r="M5" s="100"/>
      <c r="N5" s="100"/>
      <c r="O5" s="92"/>
      <c r="P5" s="87" t="s">
        <v>263</v>
      </c>
      <c r="Q5" s="93"/>
      <c r="R5" s="173">
        <f>R4</f>
        <v>0</v>
      </c>
      <c r="S5" s="92">
        <f>S4</f>
        <v>0</v>
      </c>
      <c r="T5" s="87" t="s">
        <v>251</v>
      </c>
      <c r="U5" s="87"/>
      <c r="V5" s="92"/>
      <c r="W5" s="92"/>
      <c r="X5" s="143"/>
      <c r="Y5" s="128">
        <f>Y4</f>
        <v>0</v>
      </c>
      <c r="Z5" s="87" t="str">
        <f>Z4</f>
        <v>M.Djellab</v>
      </c>
      <c r="AA5" s="87" t="s">
        <v>251</v>
      </c>
      <c r="AB5" s="87" t="s">
        <v>263</v>
      </c>
      <c r="AC5" s="87"/>
      <c r="AD5" s="142"/>
    </row>
    <row r="6" spans="1:30" s="64" customFormat="1" ht="15.75" customHeight="1">
      <c r="A6" s="265"/>
      <c r="B6" s="268"/>
      <c r="C6" s="93"/>
      <c r="D6" s="128">
        <f t="shared" ref="D6:D8" si="0">D5</f>
        <v>0</v>
      </c>
      <c r="E6" s="92">
        <f t="shared" ref="E6:E8" si="1">E5</f>
        <v>0</v>
      </c>
      <c r="F6" s="100"/>
      <c r="G6" s="100"/>
      <c r="H6" s="92"/>
      <c r="I6" s="92"/>
      <c r="J6" s="93"/>
      <c r="K6" s="173">
        <f t="shared" ref="K6:K8" si="2">K5</f>
        <v>0</v>
      </c>
      <c r="L6" s="92">
        <f t="shared" ref="L6:L8" si="3">L5</f>
        <v>0</v>
      </c>
      <c r="M6" s="100"/>
      <c r="N6" s="100"/>
      <c r="O6" s="92"/>
      <c r="P6" s="87" t="s">
        <v>263</v>
      </c>
      <c r="Q6" s="93"/>
      <c r="R6" s="173">
        <f t="shared" ref="R6:R8" si="4">R5</f>
        <v>0</v>
      </c>
      <c r="S6" s="92">
        <f t="shared" ref="S6:S8" si="5">S5</f>
        <v>0</v>
      </c>
      <c r="T6" s="87" t="s">
        <v>252</v>
      </c>
      <c r="U6" s="87"/>
      <c r="V6" s="92"/>
      <c r="W6" s="92"/>
      <c r="X6" s="143"/>
      <c r="Y6" s="128">
        <f t="shared" ref="Y6:Y8" si="6">Y5</f>
        <v>0</v>
      </c>
      <c r="Z6" s="87" t="str">
        <f t="shared" ref="Z6:Z8" si="7">Z5</f>
        <v>M.Djellab</v>
      </c>
      <c r="AA6" s="87" t="s">
        <v>252</v>
      </c>
      <c r="AB6" s="87" t="s">
        <v>263</v>
      </c>
      <c r="AC6" s="87"/>
      <c r="AD6" s="142"/>
    </row>
    <row r="7" spans="1:30" s="64" customFormat="1" ht="15.75" customHeight="1">
      <c r="A7" s="265"/>
      <c r="B7" s="268"/>
      <c r="C7" s="93"/>
      <c r="D7" s="128">
        <f t="shared" si="0"/>
        <v>0</v>
      </c>
      <c r="E7" s="92">
        <f t="shared" si="1"/>
        <v>0</v>
      </c>
      <c r="F7" s="100"/>
      <c r="G7" s="100"/>
      <c r="H7" s="92"/>
      <c r="I7" s="92"/>
      <c r="J7" s="93"/>
      <c r="K7" s="173">
        <f t="shared" si="2"/>
        <v>0</v>
      </c>
      <c r="L7" s="92">
        <f t="shared" si="3"/>
        <v>0</v>
      </c>
      <c r="M7" s="100"/>
      <c r="N7" s="100"/>
      <c r="O7" s="92"/>
      <c r="P7" s="87" t="s">
        <v>263</v>
      </c>
      <c r="Q7" s="93"/>
      <c r="R7" s="173">
        <f t="shared" si="4"/>
        <v>0</v>
      </c>
      <c r="S7" s="92">
        <f t="shared" si="5"/>
        <v>0</v>
      </c>
      <c r="T7" s="87"/>
      <c r="U7" s="87"/>
      <c r="V7" s="92"/>
      <c r="W7" s="92"/>
      <c r="X7" s="143"/>
      <c r="Y7" s="128">
        <f t="shared" si="6"/>
        <v>0</v>
      </c>
      <c r="Z7" s="87" t="str">
        <f t="shared" si="7"/>
        <v>M.Djellab</v>
      </c>
      <c r="AA7" s="87"/>
      <c r="AB7" s="87" t="s">
        <v>263</v>
      </c>
      <c r="AC7" s="87"/>
      <c r="AD7" s="142"/>
    </row>
    <row r="8" spans="1:30" s="64" customFormat="1" ht="15.75" customHeight="1">
      <c r="A8" s="265"/>
      <c r="B8" s="268"/>
      <c r="C8" s="94"/>
      <c r="D8" s="128">
        <f t="shared" si="0"/>
        <v>0</v>
      </c>
      <c r="E8" s="92">
        <f t="shared" si="1"/>
        <v>0</v>
      </c>
      <c r="F8" s="103"/>
      <c r="G8" s="103"/>
      <c r="H8" s="92"/>
      <c r="I8" s="92"/>
      <c r="J8" s="94"/>
      <c r="K8" s="173">
        <f t="shared" si="2"/>
        <v>0</v>
      </c>
      <c r="L8" s="92">
        <f t="shared" si="3"/>
        <v>0</v>
      </c>
      <c r="M8" s="103"/>
      <c r="N8" s="103"/>
      <c r="O8" s="92"/>
      <c r="P8" s="87" t="s">
        <v>263</v>
      </c>
      <c r="Q8" s="94"/>
      <c r="R8" s="173">
        <f t="shared" si="4"/>
        <v>0</v>
      </c>
      <c r="S8" s="92">
        <f t="shared" si="5"/>
        <v>0</v>
      </c>
      <c r="T8" s="87"/>
      <c r="U8" s="87"/>
      <c r="V8" s="92"/>
      <c r="W8" s="92"/>
      <c r="X8" s="144" t="s">
        <v>49</v>
      </c>
      <c r="Y8" s="128">
        <f t="shared" si="6"/>
        <v>0</v>
      </c>
      <c r="Z8" s="87" t="str">
        <f t="shared" si="7"/>
        <v>M.Djellab</v>
      </c>
      <c r="AA8" s="87"/>
      <c r="AB8" s="87" t="s">
        <v>263</v>
      </c>
      <c r="AC8" s="87"/>
      <c r="AD8" s="142"/>
    </row>
    <row r="9" spans="1:30" s="64" customFormat="1" ht="15.75" customHeight="1">
      <c r="A9" s="265"/>
      <c r="B9" s="79" t="s">
        <v>241</v>
      </c>
      <c r="C9" s="95"/>
      <c r="D9" s="129">
        <f>'3 Licence'!C9</f>
        <v>0</v>
      </c>
      <c r="E9" s="96" t="s">
        <v>55</v>
      </c>
      <c r="F9" s="103"/>
      <c r="G9" s="103" t="s">
        <v>287</v>
      </c>
      <c r="H9" s="96"/>
      <c r="I9" s="96" t="str">
        <f>$B$9</f>
        <v>L3 Métallurgie</v>
      </c>
      <c r="J9" s="95"/>
      <c r="K9" s="174"/>
      <c r="L9" s="96"/>
      <c r="M9" s="103"/>
      <c r="N9" s="103" t="s">
        <v>287</v>
      </c>
      <c r="O9" s="97"/>
      <c r="P9" s="96"/>
      <c r="Q9" s="95"/>
      <c r="R9" s="174"/>
      <c r="S9" s="96"/>
      <c r="T9" s="97"/>
      <c r="U9" s="97" t="s">
        <v>261</v>
      </c>
      <c r="V9" s="96"/>
      <c r="W9" s="96" t="str">
        <f>$B$9</f>
        <v>L3 Métallurgie</v>
      </c>
      <c r="X9" s="145"/>
      <c r="Y9" s="129"/>
      <c r="Z9" s="97"/>
      <c r="AA9" s="97"/>
      <c r="AB9" s="97"/>
      <c r="AC9" s="97"/>
      <c r="AD9" s="146"/>
    </row>
    <row r="10" spans="1:30" s="64" customFormat="1" ht="15.75" customHeight="1">
      <c r="A10" s="265"/>
      <c r="B10" s="269" t="s">
        <v>242</v>
      </c>
      <c r="C10" s="98"/>
      <c r="D10" s="130">
        <f>'3 Licence'!C10</f>
        <v>0</v>
      </c>
      <c r="E10" s="99" t="s">
        <v>100</v>
      </c>
      <c r="F10" s="103" t="s">
        <v>250</v>
      </c>
      <c r="G10" s="103" t="s">
        <v>284</v>
      </c>
      <c r="H10" s="99"/>
      <c r="I10" s="99" t="str">
        <f>$B$10</f>
        <v>L3 Construction</v>
      </c>
      <c r="J10" s="98"/>
      <c r="K10" s="175"/>
      <c r="L10" s="99"/>
      <c r="M10" s="103" t="s">
        <v>250</v>
      </c>
      <c r="N10" s="103" t="s">
        <v>284</v>
      </c>
      <c r="O10" s="100"/>
      <c r="P10" s="99"/>
      <c r="Q10" s="98"/>
      <c r="R10" s="175">
        <f>'3 Licence'!H10</f>
        <v>0</v>
      </c>
      <c r="S10" s="99"/>
      <c r="T10" s="100" t="s">
        <v>250</v>
      </c>
      <c r="U10" s="100" t="s">
        <v>254</v>
      </c>
      <c r="V10" s="99"/>
      <c r="W10" s="99" t="str">
        <f>$B$10</f>
        <v>L3 Construction</v>
      </c>
      <c r="X10" s="147"/>
      <c r="Y10" s="130"/>
      <c r="Z10" s="100"/>
      <c r="AA10" s="100" t="s">
        <v>250</v>
      </c>
      <c r="AB10" s="100"/>
      <c r="AC10" s="100"/>
      <c r="AD10" s="148"/>
    </row>
    <row r="11" spans="1:30" s="64" customFormat="1" ht="15.75" customHeight="1">
      <c r="A11" s="265"/>
      <c r="B11" s="269"/>
      <c r="C11" s="98"/>
      <c r="D11" s="130">
        <f>D10</f>
        <v>0</v>
      </c>
      <c r="E11" s="99" t="str">
        <f>E10</f>
        <v>N.Chouchane</v>
      </c>
      <c r="F11" s="103" t="s">
        <v>251</v>
      </c>
      <c r="G11" s="103" t="s">
        <v>284</v>
      </c>
      <c r="H11" s="99"/>
      <c r="I11" s="99" t="str">
        <f t="shared" ref="I11:I13" si="8">$B$10</f>
        <v>L3 Construction</v>
      </c>
      <c r="J11" s="98"/>
      <c r="K11" s="175">
        <f>K10</f>
        <v>0</v>
      </c>
      <c r="L11" s="99">
        <f>L10</f>
        <v>0</v>
      </c>
      <c r="M11" s="103" t="s">
        <v>250</v>
      </c>
      <c r="N11" s="103" t="s">
        <v>284</v>
      </c>
      <c r="O11" s="100"/>
      <c r="P11" s="99"/>
      <c r="Q11" s="98"/>
      <c r="R11" s="175">
        <f>R10</f>
        <v>0</v>
      </c>
      <c r="S11" s="99">
        <f>S10</f>
        <v>0</v>
      </c>
      <c r="T11" s="100" t="s">
        <v>251</v>
      </c>
      <c r="U11" s="100" t="s">
        <v>284</v>
      </c>
      <c r="V11" s="99"/>
      <c r="W11" s="99" t="str">
        <f t="shared" ref="W11:W13" si="9">$B$10</f>
        <v>L3 Construction</v>
      </c>
      <c r="X11" s="147"/>
      <c r="Y11" s="130">
        <f>Y10</f>
        <v>0</v>
      </c>
      <c r="Z11" s="100">
        <f>Z10</f>
        <v>0</v>
      </c>
      <c r="AA11" s="100" t="s">
        <v>251</v>
      </c>
      <c r="AB11" s="100"/>
      <c r="AC11" s="100"/>
      <c r="AD11" s="148"/>
    </row>
    <row r="12" spans="1:30" s="64" customFormat="1" ht="15.75" customHeight="1">
      <c r="A12" s="265"/>
      <c r="B12" s="269"/>
      <c r="C12" s="98"/>
      <c r="D12" s="130">
        <f t="shared" ref="D12" si="10">D11</f>
        <v>0</v>
      </c>
      <c r="E12" s="99" t="str">
        <f t="shared" ref="E12" si="11">E11</f>
        <v>N.Chouchane</v>
      </c>
      <c r="F12" s="106"/>
      <c r="G12" s="106"/>
      <c r="H12" s="99"/>
      <c r="I12" s="99" t="str">
        <f t="shared" si="8"/>
        <v>L3 Construction</v>
      </c>
      <c r="J12" s="98"/>
      <c r="K12" s="175">
        <f t="shared" ref="K12:K13" si="12">K11</f>
        <v>0</v>
      </c>
      <c r="L12" s="99">
        <f t="shared" ref="L12:L13" si="13">L11</f>
        <v>0</v>
      </c>
      <c r="M12" s="106"/>
      <c r="N12" s="106"/>
      <c r="O12" s="100"/>
      <c r="P12" s="99"/>
      <c r="Q12" s="98"/>
      <c r="R12" s="175">
        <f t="shared" ref="R12:R13" si="14">R11</f>
        <v>0</v>
      </c>
      <c r="S12" s="99">
        <f t="shared" ref="S12:S13" si="15">S11</f>
        <v>0</v>
      </c>
      <c r="T12" s="100"/>
      <c r="U12" s="100" t="s">
        <v>284</v>
      </c>
      <c r="V12" s="99"/>
      <c r="W12" s="99" t="str">
        <f t="shared" si="9"/>
        <v>L3 Construction</v>
      </c>
      <c r="X12" s="147"/>
      <c r="Y12" s="130">
        <f t="shared" ref="Y12:Y13" si="16">Y11</f>
        <v>0</v>
      </c>
      <c r="Z12" s="100">
        <f t="shared" ref="Z12:Z13" si="17">Z11</f>
        <v>0</v>
      </c>
      <c r="AA12" s="100"/>
      <c r="AB12" s="100"/>
      <c r="AC12" s="100"/>
      <c r="AD12" s="148"/>
    </row>
    <row r="13" spans="1:30" s="64" customFormat="1" ht="15.75" customHeight="1">
      <c r="A13" s="265"/>
      <c r="B13" s="269"/>
      <c r="C13" s="98"/>
      <c r="D13" s="130"/>
      <c r="E13" s="99"/>
      <c r="F13" s="109"/>
      <c r="G13" s="109"/>
      <c r="H13" s="99"/>
      <c r="I13" s="99" t="str">
        <f t="shared" si="8"/>
        <v>L3 Construction</v>
      </c>
      <c r="J13" s="98"/>
      <c r="K13" s="175">
        <f t="shared" si="12"/>
        <v>0</v>
      </c>
      <c r="L13" s="99">
        <f t="shared" si="13"/>
        <v>0</v>
      </c>
      <c r="M13" s="109"/>
      <c r="N13" s="109"/>
      <c r="O13" s="100"/>
      <c r="P13" s="99"/>
      <c r="Q13" s="98"/>
      <c r="R13" s="175">
        <f t="shared" si="14"/>
        <v>0</v>
      </c>
      <c r="S13" s="99">
        <f t="shared" si="15"/>
        <v>0</v>
      </c>
      <c r="T13" s="100"/>
      <c r="U13" s="100"/>
      <c r="V13" s="99"/>
      <c r="W13" s="99" t="str">
        <f t="shared" si="9"/>
        <v>L3 Construction</v>
      </c>
      <c r="X13" s="147"/>
      <c r="Y13" s="130">
        <f t="shared" si="16"/>
        <v>0</v>
      </c>
      <c r="Z13" s="100">
        <f t="shared" si="17"/>
        <v>0</v>
      </c>
      <c r="AA13" s="100"/>
      <c r="AB13" s="100"/>
      <c r="AC13" s="100"/>
      <c r="AD13" s="148"/>
    </row>
    <row r="14" spans="1:30" s="64" customFormat="1" ht="15.75" customHeight="1">
      <c r="A14" s="265"/>
      <c r="B14" s="270" t="s">
        <v>243</v>
      </c>
      <c r="C14" s="101"/>
      <c r="D14" s="131">
        <f>'3 Licence'!C12</f>
        <v>0</v>
      </c>
      <c r="E14" s="102" t="s">
        <v>65</v>
      </c>
      <c r="F14" s="109" t="s">
        <v>250</v>
      </c>
      <c r="G14" s="109" t="s">
        <v>285</v>
      </c>
      <c r="H14" s="102"/>
      <c r="I14" s="102" t="str">
        <f>$B$14</f>
        <v>L3 Energétique</v>
      </c>
      <c r="J14" s="101"/>
      <c r="K14" s="176"/>
      <c r="L14" s="102"/>
      <c r="M14" s="109" t="s">
        <v>250</v>
      </c>
      <c r="N14" s="109" t="s">
        <v>285</v>
      </c>
      <c r="O14" s="103"/>
      <c r="P14" s="102"/>
      <c r="Q14" s="101"/>
      <c r="R14" s="176"/>
      <c r="S14" s="102"/>
      <c r="T14" s="103" t="s">
        <v>250</v>
      </c>
      <c r="U14" s="103" t="s">
        <v>285</v>
      </c>
      <c r="V14" s="102"/>
      <c r="W14" s="102" t="str">
        <f>$B$14</f>
        <v>L3 Energétique</v>
      </c>
      <c r="X14" s="149"/>
      <c r="Y14" s="131"/>
      <c r="Z14" s="103"/>
      <c r="AA14" s="103" t="s">
        <v>250</v>
      </c>
      <c r="AB14" s="103"/>
      <c r="AC14" s="103"/>
      <c r="AD14" s="150"/>
    </row>
    <row r="15" spans="1:30" s="64" customFormat="1" ht="15.75" customHeight="1">
      <c r="A15" s="265"/>
      <c r="B15" s="270"/>
      <c r="C15" s="101"/>
      <c r="D15" s="131">
        <f>D14</f>
        <v>0</v>
      </c>
      <c r="E15" s="102" t="str">
        <f>E14</f>
        <v>N.Boultif</v>
      </c>
      <c r="F15" s="109"/>
      <c r="G15" s="109"/>
      <c r="H15" s="102"/>
      <c r="I15" s="102" t="str">
        <f t="shared" ref="I15:I17" si="18">$B$14</f>
        <v>L3 Energétique</v>
      </c>
      <c r="J15" s="101"/>
      <c r="K15" s="176">
        <f>K14</f>
        <v>0</v>
      </c>
      <c r="L15" s="102">
        <f>L14</f>
        <v>0</v>
      </c>
      <c r="M15" s="109"/>
      <c r="N15" s="109"/>
      <c r="O15" s="103"/>
      <c r="P15" s="102"/>
      <c r="Q15" s="101"/>
      <c r="R15" s="176">
        <f>R14</f>
        <v>0</v>
      </c>
      <c r="S15" s="102">
        <f>S14</f>
        <v>0</v>
      </c>
      <c r="T15" s="103"/>
      <c r="U15" s="103" t="s">
        <v>285</v>
      </c>
      <c r="V15" s="102"/>
      <c r="W15" s="102" t="str">
        <f t="shared" ref="W15:W17" si="19">$B$14</f>
        <v>L3 Energétique</v>
      </c>
      <c r="X15" s="149"/>
      <c r="Y15" s="131">
        <f>Y14</f>
        <v>0</v>
      </c>
      <c r="Z15" s="103">
        <f>Z14</f>
        <v>0</v>
      </c>
      <c r="AA15" s="103" t="s">
        <v>251</v>
      </c>
      <c r="AB15" s="103"/>
      <c r="AC15" s="103"/>
      <c r="AD15" s="150"/>
    </row>
    <row r="16" spans="1:30" s="64" customFormat="1" ht="15.75" customHeight="1">
      <c r="A16" s="265"/>
      <c r="B16" s="270"/>
      <c r="C16" s="101"/>
      <c r="D16" s="131">
        <f t="shared" ref="D16" si="20">D15</f>
        <v>0</v>
      </c>
      <c r="E16" s="102" t="str">
        <f t="shared" ref="E16" si="21">E15</f>
        <v>N.Boultif</v>
      </c>
      <c r="F16" s="109"/>
      <c r="G16" s="109"/>
      <c r="H16" s="102"/>
      <c r="I16" s="102" t="str">
        <f t="shared" si="18"/>
        <v>L3 Energétique</v>
      </c>
      <c r="J16" s="101"/>
      <c r="K16" s="176">
        <f t="shared" ref="K16:K17" si="22">K15</f>
        <v>0</v>
      </c>
      <c r="L16" s="102">
        <f t="shared" ref="L16:L17" si="23">L15</f>
        <v>0</v>
      </c>
      <c r="M16" s="109"/>
      <c r="N16" s="109"/>
      <c r="O16" s="103"/>
      <c r="P16" s="102"/>
      <c r="Q16" s="101"/>
      <c r="R16" s="176">
        <f t="shared" ref="R16:R17" si="24">R15</f>
        <v>0</v>
      </c>
      <c r="S16" s="102">
        <f t="shared" ref="S16:S17" si="25">S15</f>
        <v>0</v>
      </c>
      <c r="T16" s="103"/>
      <c r="U16" s="103" t="s">
        <v>285</v>
      </c>
      <c r="V16" s="102"/>
      <c r="W16" s="102" t="str">
        <f t="shared" si="19"/>
        <v>L3 Energétique</v>
      </c>
      <c r="X16" s="149"/>
      <c r="Y16" s="131">
        <f t="shared" ref="Y16:Y17" si="26">Y15</f>
        <v>0</v>
      </c>
      <c r="Z16" s="103">
        <f t="shared" ref="Z16:Z17" si="27">Z15</f>
        <v>0</v>
      </c>
      <c r="AA16" s="103"/>
      <c r="AB16" s="103"/>
      <c r="AC16" s="103"/>
      <c r="AD16" s="150"/>
    </row>
    <row r="17" spans="1:30" s="64" customFormat="1" ht="16.5" customHeight="1">
      <c r="A17" s="265"/>
      <c r="B17" s="270"/>
      <c r="C17" s="101"/>
      <c r="D17" s="131"/>
      <c r="E17" s="102"/>
      <c r="F17" s="112"/>
      <c r="G17" s="112"/>
      <c r="H17" s="102"/>
      <c r="I17" s="102" t="str">
        <f t="shared" si="18"/>
        <v>L3 Energétique</v>
      </c>
      <c r="J17" s="101"/>
      <c r="K17" s="176">
        <f t="shared" si="22"/>
        <v>0</v>
      </c>
      <c r="L17" s="102">
        <f t="shared" si="23"/>
        <v>0</v>
      </c>
      <c r="M17" s="112"/>
      <c r="N17" s="112"/>
      <c r="O17" s="103"/>
      <c r="P17" s="102"/>
      <c r="Q17" s="101"/>
      <c r="R17" s="176">
        <f t="shared" si="24"/>
        <v>0</v>
      </c>
      <c r="S17" s="102">
        <f t="shared" si="25"/>
        <v>0</v>
      </c>
      <c r="T17" s="103"/>
      <c r="U17" s="103"/>
      <c r="V17" s="102"/>
      <c r="W17" s="102" t="str">
        <f t="shared" si="19"/>
        <v>L3 Energétique</v>
      </c>
      <c r="X17" s="149"/>
      <c r="Y17" s="131">
        <f t="shared" si="26"/>
        <v>0</v>
      </c>
      <c r="Z17" s="103">
        <f t="shared" si="27"/>
        <v>0</v>
      </c>
      <c r="AA17" s="103"/>
      <c r="AB17" s="103"/>
      <c r="AC17" s="103"/>
      <c r="AD17" s="150"/>
    </row>
    <row r="18" spans="1:30" ht="15.75" customHeight="1">
      <c r="A18" s="265"/>
      <c r="B18" s="80" t="s">
        <v>244</v>
      </c>
      <c r="C18" s="104" t="s">
        <v>44</v>
      </c>
      <c r="D18" s="132" t="str">
        <f>'Maset I'!C9</f>
        <v>Calcul numérique et modélisation</v>
      </c>
      <c r="E18" s="123" t="s">
        <v>44</v>
      </c>
      <c r="F18" s="112"/>
      <c r="G18" s="112" t="s">
        <v>293</v>
      </c>
      <c r="H18" s="105"/>
      <c r="I18" s="105" t="str">
        <f>$B$18</f>
        <v>M1 Métallurgie</v>
      </c>
      <c r="J18" s="104"/>
      <c r="K18" s="177"/>
      <c r="L18" s="123"/>
      <c r="M18" s="112"/>
      <c r="N18" s="112" t="s">
        <v>293</v>
      </c>
      <c r="O18" s="106"/>
      <c r="P18" s="105"/>
      <c r="Q18" s="104"/>
      <c r="R18" s="177"/>
      <c r="S18" s="123"/>
      <c r="T18" s="106"/>
      <c r="U18" s="106" t="s">
        <v>288</v>
      </c>
      <c r="V18" s="105"/>
      <c r="W18" s="105" t="str">
        <f>$B$18</f>
        <v>M1 Métallurgie</v>
      </c>
      <c r="X18" s="151"/>
      <c r="Y18" s="132"/>
      <c r="Z18" s="152"/>
      <c r="AA18" s="106"/>
      <c r="AB18" s="106"/>
      <c r="AC18" s="106"/>
      <c r="AD18" s="153"/>
    </row>
    <row r="19" spans="1:30" ht="15" customHeight="1">
      <c r="A19" s="265"/>
      <c r="B19" s="271" t="s">
        <v>245</v>
      </c>
      <c r="C19" s="107" t="s">
        <v>49</v>
      </c>
      <c r="D19" s="133" t="str">
        <f>'Maset I'!C10</f>
        <v>CFAO</v>
      </c>
      <c r="E19" s="126" t="s">
        <v>57</v>
      </c>
      <c r="F19" s="112"/>
      <c r="G19" s="112" t="s">
        <v>286</v>
      </c>
      <c r="H19" s="108"/>
      <c r="I19" s="108" t="str">
        <f>$B$19</f>
        <v>M1 Construction</v>
      </c>
      <c r="J19" s="107"/>
      <c r="K19" s="178"/>
      <c r="L19" s="126"/>
      <c r="M19" s="112"/>
      <c r="N19" s="112" t="s">
        <v>286</v>
      </c>
      <c r="O19" s="109"/>
      <c r="P19" s="108"/>
      <c r="Q19" s="107"/>
      <c r="R19" s="178"/>
      <c r="S19" s="126"/>
      <c r="T19" s="109" t="s">
        <v>250</v>
      </c>
      <c r="U19" s="109" t="s">
        <v>286</v>
      </c>
      <c r="V19" s="108"/>
      <c r="W19" s="108" t="str">
        <f>$B$19</f>
        <v>M1 Construction</v>
      </c>
      <c r="X19" s="154"/>
      <c r="Y19" s="133"/>
      <c r="Z19" s="155"/>
      <c r="AA19" s="109" t="s">
        <v>250</v>
      </c>
      <c r="AB19" s="109"/>
      <c r="AC19" s="109"/>
      <c r="AD19" s="156"/>
    </row>
    <row r="20" spans="1:30" ht="15" customHeight="1">
      <c r="A20" s="265"/>
      <c r="B20" s="271"/>
      <c r="C20" s="107" t="s">
        <v>32</v>
      </c>
      <c r="D20" s="133" t="str">
        <f>D19</f>
        <v>CFAO</v>
      </c>
      <c r="E20" s="108" t="str">
        <f>E19</f>
        <v>M.Benmachiche</v>
      </c>
      <c r="F20" s="112"/>
      <c r="G20" s="112"/>
      <c r="H20" s="108"/>
      <c r="I20" s="108" t="str">
        <f t="shared" ref="I20:I22" si="28">$B$19</f>
        <v>M1 Construction</v>
      </c>
      <c r="J20" s="107"/>
      <c r="K20" s="178">
        <f>K19</f>
        <v>0</v>
      </c>
      <c r="L20" s="108">
        <f>L19</f>
        <v>0</v>
      </c>
      <c r="M20" s="112"/>
      <c r="N20" s="112"/>
      <c r="O20" s="109"/>
      <c r="P20" s="108"/>
      <c r="Q20" s="107"/>
      <c r="R20" s="178">
        <f>R19</f>
        <v>0</v>
      </c>
      <c r="S20" s="108">
        <f>S19</f>
        <v>0</v>
      </c>
      <c r="T20" s="109" t="s">
        <v>251</v>
      </c>
      <c r="U20" s="109" t="s">
        <v>286</v>
      </c>
      <c r="V20" s="108"/>
      <c r="W20" s="108" t="str">
        <f t="shared" ref="W20:W22" si="29">$B$19</f>
        <v>M1 Construction</v>
      </c>
      <c r="X20" s="154"/>
      <c r="Y20" s="133">
        <f>Y19</f>
        <v>0</v>
      </c>
      <c r="Z20" s="109">
        <f>Z19</f>
        <v>0</v>
      </c>
      <c r="AA20" s="109" t="s">
        <v>251</v>
      </c>
      <c r="AB20" s="109"/>
      <c r="AC20" s="109"/>
      <c r="AD20" s="156"/>
    </row>
    <row r="21" spans="1:30" ht="15" customHeight="1">
      <c r="A21" s="265"/>
      <c r="B21" s="271"/>
      <c r="C21" s="107" t="s">
        <v>57</v>
      </c>
      <c r="D21" s="133" t="str">
        <f t="shared" ref="D21" si="30">D20</f>
        <v>CFAO</v>
      </c>
      <c r="E21" s="108" t="str">
        <f t="shared" ref="E21" si="31">E20</f>
        <v>M.Benmachiche</v>
      </c>
      <c r="F21" s="115"/>
      <c r="G21" s="115"/>
      <c r="H21" s="108"/>
      <c r="I21" s="108" t="str">
        <f t="shared" si="28"/>
        <v>M1 Construction</v>
      </c>
      <c r="J21" s="107"/>
      <c r="K21" s="178">
        <f t="shared" ref="K21:K22" si="32">K20</f>
        <v>0</v>
      </c>
      <c r="L21" s="108">
        <f t="shared" ref="L21:L22" si="33">L20</f>
        <v>0</v>
      </c>
      <c r="M21" s="115"/>
      <c r="N21" s="115"/>
      <c r="O21" s="109"/>
      <c r="P21" s="108"/>
      <c r="Q21" s="107"/>
      <c r="R21" s="178">
        <f t="shared" ref="R21:R22" si="34">R20</f>
        <v>0</v>
      </c>
      <c r="S21" s="108">
        <f t="shared" ref="S21:S22" si="35">S20</f>
        <v>0</v>
      </c>
      <c r="T21" s="109"/>
      <c r="U21" s="109" t="s">
        <v>286</v>
      </c>
      <c r="V21" s="108"/>
      <c r="W21" s="108" t="str">
        <f t="shared" si="29"/>
        <v>M1 Construction</v>
      </c>
      <c r="X21" s="154"/>
      <c r="Y21" s="133">
        <f t="shared" ref="Y21:Y22" si="36">Y20</f>
        <v>0</v>
      </c>
      <c r="Z21" s="109">
        <f t="shared" ref="Z21:Z22" si="37">Z20</f>
        <v>0</v>
      </c>
      <c r="AA21" s="109"/>
      <c r="AB21" s="109"/>
      <c r="AC21" s="109"/>
      <c r="AD21" s="156"/>
    </row>
    <row r="22" spans="1:30" ht="15" customHeight="1">
      <c r="A22" s="265"/>
      <c r="B22" s="271"/>
      <c r="C22" s="107"/>
      <c r="D22" s="133"/>
      <c r="E22" s="108"/>
      <c r="F22" s="117"/>
      <c r="G22" s="117"/>
      <c r="H22" s="108"/>
      <c r="I22" s="108" t="str">
        <f t="shared" si="28"/>
        <v>M1 Construction</v>
      </c>
      <c r="J22" s="107"/>
      <c r="K22" s="178">
        <f t="shared" si="32"/>
        <v>0</v>
      </c>
      <c r="L22" s="108">
        <f t="shared" si="33"/>
        <v>0</v>
      </c>
      <c r="M22" s="117"/>
      <c r="N22" s="117"/>
      <c r="O22" s="109"/>
      <c r="P22" s="108"/>
      <c r="Q22" s="107"/>
      <c r="R22" s="178">
        <f t="shared" si="34"/>
        <v>0</v>
      </c>
      <c r="S22" s="108">
        <f t="shared" si="35"/>
        <v>0</v>
      </c>
      <c r="T22" s="109"/>
      <c r="U22" s="109"/>
      <c r="V22" s="108"/>
      <c r="W22" s="108" t="str">
        <f t="shared" si="29"/>
        <v>M1 Construction</v>
      </c>
      <c r="X22" s="154"/>
      <c r="Y22" s="133">
        <f t="shared" si="36"/>
        <v>0</v>
      </c>
      <c r="Z22" s="109">
        <f t="shared" si="37"/>
        <v>0</v>
      </c>
      <c r="AA22" s="109"/>
      <c r="AB22" s="109"/>
      <c r="AC22" s="109"/>
      <c r="AD22" s="156"/>
    </row>
    <row r="23" spans="1:30" ht="15" customHeight="1">
      <c r="A23" s="265"/>
      <c r="B23" s="272" t="s">
        <v>246</v>
      </c>
      <c r="C23" s="110" t="s">
        <v>96</v>
      </c>
      <c r="D23" s="134" t="str">
        <f>'Maset I'!C12</f>
        <v>Asservissement et régulations</v>
      </c>
      <c r="E23" s="124" t="s">
        <v>55</v>
      </c>
      <c r="F23" s="117" t="s">
        <v>250</v>
      </c>
      <c r="G23" s="117" t="s">
        <v>289</v>
      </c>
      <c r="H23" s="111"/>
      <c r="I23" s="111" t="str">
        <f>$B$23</f>
        <v>M1 Energétique</v>
      </c>
      <c r="J23" s="110"/>
      <c r="K23" s="179"/>
      <c r="L23" s="124"/>
      <c r="M23" s="117" t="s">
        <v>250</v>
      </c>
      <c r="N23" s="117" t="s">
        <v>289</v>
      </c>
      <c r="O23" s="112"/>
      <c r="P23" s="111"/>
      <c r="Q23" s="110"/>
      <c r="R23" s="179"/>
      <c r="S23" s="124"/>
      <c r="T23" s="112" t="s">
        <v>250</v>
      </c>
      <c r="U23" s="112" t="s">
        <v>289</v>
      </c>
      <c r="V23" s="111"/>
      <c r="W23" s="111" t="str">
        <f>$B$23</f>
        <v>M1 Energétique</v>
      </c>
      <c r="X23" s="157"/>
      <c r="Y23" s="134"/>
      <c r="Z23" s="158"/>
      <c r="AA23" s="112" t="s">
        <v>250</v>
      </c>
      <c r="AB23" s="112"/>
      <c r="AC23" s="112"/>
      <c r="AD23" s="159"/>
    </row>
    <row r="24" spans="1:30" ht="15" customHeight="1">
      <c r="A24" s="265"/>
      <c r="B24" s="272"/>
      <c r="C24" s="110" t="s">
        <v>69</v>
      </c>
      <c r="D24" s="134" t="str">
        <f>D23</f>
        <v>Asservissement et régulations</v>
      </c>
      <c r="E24" s="111" t="str">
        <f>E23</f>
        <v>H.Hadef</v>
      </c>
      <c r="F24" s="116" t="s">
        <v>292</v>
      </c>
      <c r="G24" s="117" t="s">
        <v>290</v>
      </c>
      <c r="H24" s="111"/>
      <c r="I24" s="111" t="str">
        <f t="shared" ref="I24:I26" si="38">$B$23</f>
        <v>M1 Energétique</v>
      </c>
      <c r="J24" s="110"/>
      <c r="K24" s="179">
        <f>K23</f>
        <v>0</v>
      </c>
      <c r="L24" s="111">
        <f>L23</f>
        <v>0</v>
      </c>
      <c r="M24" s="116" t="s">
        <v>292</v>
      </c>
      <c r="N24" s="117" t="s">
        <v>290</v>
      </c>
      <c r="O24" s="112"/>
      <c r="P24" s="111"/>
      <c r="Q24" s="110"/>
      <c r="R24" s="179">
        <f>R23</f>
        <v>0</v>
      </c>
      <c r="S24" s="111">
        <f>S23</f>
        <v>0</v>
      </c>
      <c r="T24" s="112" t="s">
        <v>251</v>
      </c>
      <c r="U24" s="112" t="s">
        <v>290</v>
      </c>
      <c r="V24" s="111"/>
      <c r="W24" s="111" t="str">
        <f t="shared" ref="W24:W26" si="39">$B$23</f>
        <v>M1 Energétique</v>
      </c>
      <c r="X24" s="157"/>
      <c r="Y24" s="134">
        <f>Y23</f>
        <v>0</v>
      </c>
      <c r="Z24" s="112">
        <f>Z23</f>
        <v>0</v>
      </c>
      <c r="AA24" s="112" t="s">
        <v>251</v>
      </c>
      <c r="AB24" s="112"/>
      <c r="AC24" s="112"/>
      <c r="AD24" s="159"/>
    </row>
    <row r="25" spans="1:30" ht="15" customHeight="1">
      <c r="A25" s="265"/>
      <c r="B25" s="272"/>
      <c r="C25" s="110"/>
      <c r="D25" s="134" t="str">
        <f t="shared" ref="D25:D26" si="40">D24</f>
        <v>Asservissement et régulations</v>
      </c>
      <c r="E25" s="111" t="str">
        <f t="shared" ref="E25:E26" si="41">E24</f>
        <v>H.Hadef</v>
      </c>
      <c r="F25" s="116"/>
      <c r="G25" s="117"/>
      <c r="H25" s="111"/>
      <c r="I25" s="111" t="str">
        <f t="shared" si="38"/>
        <v>M1 Energétique</v>
      </c>
      <c r="J25" s="110"/>
      <c r="K25" s="179">
        <f t="shared" ref="K25:K26" si="42">K24</f>
        <v>0</v>
      </c>
      <c r="L25" s="111">
        <f t="shared" ref="L25:L26" si="43">L24</f>
        <v>0</v>
      </c>
      <c r="M25" s="116"/>
      <c r="N25" s="117"/>
      <c r="O25" s="112"/>
      <c r="P25" s="111"/>
      <c r="Q25" s="110"/>
      <c r="R25" s="179">
        <f t="shared" ref="R25:R26" si="44">R24</f>
        <v>0</v>
      </c>
      <c r="S25" s="111">
        <f t="shared" ref="S25:S26" si="45">S24</f>
        <v>0</v>
      </c>
      <c r="T25" s="112"/>
      <c r="U25" s="112"/>
      <c r="V25" s="111"/>
      <c r="W25" s="111" t="str">
        <f t="shared" si="39"/>
        <v>M1 Energétique</v>
      </c>
      <c r="X25" s="157"/>
      <c r="Y25" s="134">
        <f t="shared" ref="Y25:Y26" si="46">Y24</f>
        <v>0</v>
      </c>
      <c r="Z25" s="112">
        <f t="shared" ref="Z25:Z26" si="47">Z24</f>
        <v>0</v>
      </c>
      <c r="AA25" s="112"/>
      <c r="AB25" s="112"/>
      <c r="AC25" s="112"/>
      <c r="AD25" s="159"/>
    </row>
    <row r="26" spans="1:30" ht="15.75" customHeight="1" thickBot="1">
      <c r="A26" s="265"/>
      <c r="B26" s="272"/>
      <c r="C26" s="110" t="s">
        <v>55</v>
      </c>
      <c r="D26" s="134" t="str">
        <f t="shared" si="40"/>
        <v>Asservissement et régulations</v>
      </c>
      <c r="E26" s="111" t="str">
        <f t="shared" si="41"/>
        <v>H.Hadef</v>
      </c>
      <c r="F26" s="119"/>
      <c r="G26" s="166"/>
      <c r="H26" s="111"/>
      <c r="I26" s="111" t="str">
        <f t="shared" si="38"/>
        <v>M1 Energétique</v>
      </c>
      <c r="J26" s="110"/>
      <c r="K26" s="179">
        <f t="shared" si="42"/>
        <v>0</v>
      </c>
      <c r="L26" s="111">
        <f t="shared" si="43"/>
        <v>0</v>
      </c>
      <c r="M26" s="119"/>
      <c r="N26" s="166"/>
      <c r="O26" s="112"/>
      <c r="P26" s="111"/>
      <c r="Q26" s="110"/>
      <c r="R26" s="179">
        <f t="shared" si="44"/>
        <v>0</v>
      </c>
      <c r="S26" s="111">
        <f t="shared" si="45"/>
        <v>0</v>
      </c>
      <c r="T26" s="112"/>
      <c r="U26" s="112"/>
      <c r="V26" s="111"/>
      <c r="W26" s="111" t="str">
        <f t="shared" si="39"/>
        <v>M1 Energétique</v>
      </c>
      <c r="X26" s="157"/>
      <c r="Y26" s="134">
        <f t="shared" si="46"/>
        <v>0</v>
      </c>
      <c r="Z26" s="112">
        <f t="shared" si="47"/>
        <v>0</v>
      </c>
      <c r="AA26" s="112"/>
      <c r="AB26" s="112"/>
      <c r="AC26" s="112"/>
      <c r="AD26" s="159"/>
    </row>
    <row r="27" spans="1:30" ht="15.75" customHeight="1">
      <c r="A27" s="265"/>
      <c r="B27" s="81" t="s">
        <v>247</v>
      </c>
      <c r="C27" s="113"/>
      <c r="D27" s="135"/>
      <c r="E27" s="122"/>
      <c r="F27" s="119"/>
      <c r="G27" s="166"/>
      <c r="H27" s="114"/>
      <c r="I27" s="114"/>
      <c r="J27" s="113"/>
      <c r="K27" s="180"/>
      <c r="L27" s="122"/>
      <c r="M27" s="119"/>
      <c r="N27" s="166"/>
      <c r="O27" s="89"/>
      <c r="P27" s="114"/>
      <c r="Q27" s="113"/>
      <c r="R27" s="180"/>
      <c r="S27" s="122"/>
      <c r="T27" s="115"/>
      <c r="U27" s="115"/>
      <c r="V27" s="114"/>
      <c r="W27" s="114"/>
      <c r="X27" s="160"/>
      <c r="Y27" s="135"/>
      <c r="Z27" s="161"/>
      <c r="AA27" s="115"/>
      <c r="AB27" s="115"/>
      <c r="AC27" s="115"/>
      <c r="AD27" s="162"/>
    </row>
    <row r="28" spans="1:30" ht="15" customHeight="1">
      <c r="A28" s="265"/>
      <c r="B28" s="268" t="s">
        <v>248</v>
      </c>
      <c r="C28" s="93"/>
      <c r="D28" s="136"/>
      <c r="E28" s="92"/>
      <c r="F28" s="119"/>
      <c r="G28" s="166"/>
      <c r="H28" s="116"/>
      <c r="I28" s="116"/>
      <c r="J28" s="93"/>
      <c r="K28" s="181"/>
      <c r="L28" s="92"/>
      <c r="M28" s="119"/>
      <c r="N28" s="166"/>
      <c r="O28" s="92"/>
      <c r="P28" s="116"/>
      <c r="Q28" s="93"/>
      <c r="R28" s="181"/>
      <c r="S28" s="92"/>
      <c r="T28" s="117" t="s">
        <v>250</v>
      </c>
      <c r="U28" s="117"/>
      <c r="V28" s="116"/>
      <c r="W28" s="116"/>
      <c r="X28" s="143"/>
      <c r="Y28" s="136"/>
      <c r="Z28" s="87"/>
      <c r="AA28" s="117" t="s">
        <v>250</v>
      </c>
      <c r="AB28" s="117"/>
      <c r="AC28" s="117"/>
      <c r="AD28" s="163"/>
    </row>
    <row r="29" spans="1:30" ht="15" customHeight="1" thickBot="1">
      <c r="A29" s="265"/>
      <c r="B29" s="268"/>
      <c r="C29" s="93"/>
      <c r="D29" s="136">
        <f>D28</f>
        <v>0</v>
      </c>
      <c r="E29" s="116">
        <f>E28</f>
        <v>0</v>
      </c>
      <c r="F29" s="121"/>
      <c r="G29" s="169"/>
      <c r="H29" s="116"/>
      <c r="I29" s="116"/>
      <c r="J29" s="93"/>
      <c r="K29" s="181">
        <f>K28</f>
        <v>0</v>
      </c>
      <c r="L29" s="116">
        <f>L28</f>
        <v>0</v>
      </c>
      <c r="M29" s="121"/>
      <c r="N29" s="169"/>
      <c r="O29" s="92"/>
      <c r="P29" s="116"/>
      <c r="Q29" s="93"/>
      <c r="R29" s="181">
        <f>R28</f>
        <v>0</v>
      </c>
      <c r="S29" s="116">
        <f>S28</f>
        <v>0</v>
      </c>
      <c r="T29" s="117" t="s">
        <v>251</v>
      </c>
      <c r="U29" s="117"/>
      <c r="V29" s="116"/>
      <c r="W29" s="116"/>
      <c r="X29" s="143"/>
      <c r="Y29" s="136">
        <f>Y28</f>
        <v>0</v>
      </c>
      <c r="Z29" s="117">
        <f>Z28</f>
        <v>0</v>
      </c>
      <c r="AA29" s="117" t="s">
        <v>251</v>
      </c>
      <c r="AB29" s="117"/>
      <c r="AC29" s="117"/>
      <c r="AD29" s="163"/>
    </row>
    <row r="30" spans="1:30" ht="15" customHeight="1">
      <c r="A30" s="265"/>
      <c r="B30" s="268"/>
      <c r="C30" s="93"/>
      <c r="D30" s="136">
        <f t="shared" ref="D30:D31" si="48">D29</f>
        <v>0</v>
      </c>
      <c r="E30" s="116">
        <f t="shared" ref="E30:E31" si="49">E29</f>
        <v>0</v>
      </c>
      <c r="F30" s="90"/>
      <c r="G30" s="89"/>
      <c r="H30" s="116"/>
      <c r="I30" s="116"/>
      <c r="J30" s="93"/>
      <c r="K30" s="181">
        <f t="shared" ref="K30:K31" si="50">K29</f>
        <v>0</v>
      </c>
      <c r="L30" s="116">
        <f t="shared" ref="L30:L31" si="51">L29</f>
        <v>0</v>
      </c>
      <c r="M30" s="90"/>
      <c r="N30" s="89"/>
      <c r="O30" s="92"/>
      <c r="P30" s="116"/>
      <c r="Q30" s="93"/>
      <c r="R30" s="181">
        <f t="shared" ref="R30:R31" si="52">R29</f>
        <v>0</v>
      </c>
      <c r="S30" s="116">
        <f t="shared" ref="S30:S31" si="53">S29</f>
        <v>0</v>
      </c>
      <c r="T30" s="116"/>
      <c r="U30" s="117"/>
      <c r="V30" s="116"/>
      <c r="W30" s="116"/>
      <c r="X30" s="143"/>
      <c r="Y30" s="136">
        <f t="shared" ref="Y30:Y31" si="54">Y29</f>
        <v>0</v>
      </c>
      <c r="Z30" s="117">
        <f t="shared" ref="Z30:Z31" si="55">Z29</f>
        <v>0</v>
      </c>
      <c r="AA30" s="117"/>
      <c r="AB30" s="117"/>
      <c r="AC30" s="117"/>
      <c r="AD30" s="163"/>
    </row>
    <row r="31" spans="1:30" ht="15" customHeight="1">
      <c r="A31" s="265"/>
      <c r="B31" s="268"/>
      <c r="C31" s="93"/>
      <c r="D31" s="136">
        <f t="shared" si="48"/>
        <v>0</v>
      </c>
      <c r="E31" s="116">
        <f t="shared" si="49"/>
        <v>0</v>
      </c>
      <c r="F31" s="87" t="s">
        <v>250</v>
      </c>
      <c r="G31" s="92"/>
      <c r="H31" s="116"/>
      <c r="I31" s="116"/>
      <c r="J31" s="93"/>
      <c r="K31" s="181">
        <f t="shared" si="50"/>
        <v>0</v>
      </c>
      <c r="L31" s="116">
        <f t="shared" si="51"/>
        <v>0</v>
      </c>
      <c r="M31" s="87" t="s">
        <v>250</v>
      </c>
      <c r="N31" s="92"/>
      <c r="O31" s="92"/>
      <c r="P31" s="116"/>
      <c r="Q31" s="93"/>
      <c r="R31" s="181">
        <f t="shared" si="52"/>
        <v>0</v>
      </c>
      <c r="S31" s="116">
        <f t="shared" si="53"/>
        <v>0</v>
      </c>
      <c r="T31" s="116"/>
      <c r="U31" s="117"/>
      <c r="V31" s="116"/>
      <c r="W31" s="116"/>
      <c r="X31" s="143"/>
      <c r="Y31" s="136">
        <f t="shared" si="54"/>
        <v>0</v>
      </c>
      <c r="Z31" s="117">
        <f t="shared" si="55"/>
        <v>0</v>
      </c>
      <c r="AA31" s="117"/>
      <c r="AB31" s="117"/>
      <c r="AC31" s="117"/>
      <c r="AD31" s="163"/>
    </row>
    <row r="32" spans="1:30" ht="15.75" customHeight="1">
      <c r="A32" s="265"/>
      <c r="B32" s="273" t="s">
        <v>249</v>
      </c>
      <c r="C32" s="118"/>
      <c r="D32" s="137"/>
      <c r="E32" s="125"/>
      <c r="F32" s="87" t="s">
        <v>251</v>
      </c>
      <c r="G32" s="92"/>
      <c r="H32" s="119"/>
      <c r="I32" s="119"/>
      <c r="J32" s="118"/>
      <c r="K32" s="182"/>
      <c r="L32" s="125"/>
      <c r="M32" s="87" t="s">
        <v>251</v>
      </c>
      <c r="N32" s="92"/>
      <c r="O32" s="92"/>
      <c r="P32" s="119"/>
      <c r="Q32" s="118"/>
      <c r="R32" s="182"/>
      <c r="S32" s="125"/>
      <c r="T32" s="119" t="s">
        <v>250</v>
      </c>
      <c r="U32" s="166"/>
      <c r="V32" s="119"/>
      <c r="W32" s="119"/>
      <c r="X32" s="164"/>
      <c r="Y32" s="137"/>
      <c r="Z32" s="165"/>
      <c r="AA32" s="166" t="s">
        <v>250</v>
      </c>
      <c r="AB32" s="166"/>
      <c r="AC32" s="166"/>
      <c r="AD32" s="167"/>
    </row>
    <row r="33" spans="1:30" ht="15.75">
      <c r="A33" s="265"/>
      <c r="B33" s="273"/>
      <c r="C33" s="118"/>
      <c r="D33" s="137">
        <f>D32</f>
        <v>0</v>
      </c>
      <c r="E33" s="119">
        <f>E32</f>
        <v>0</v>
      </c>
      <c r="F33" s="87" t="s">
        <v>252</v>
      </c>
      <c r="G33" s="92"/>
      <c r="H33" s="119"/>
      <c r="I33" s="119"/>
      <c r="J33" s="118"/>
      <c r="K33" s="182">
        <f>K32</f>
        <v>0</v>
      </c>
      <c r="L33" s="119">
        <f>L32</f>
        <v>0</v>
      </c>
      <c r="M33" s="87" t="s">
        <v>252</v>
      </c>
      <c r="N33" s="92"/>
      <c r="O33" s="97"/>
      <c r="P33" s="119"/>
      <c r="Q33" s="118"/>
      <c r="R33" s="182">
        <f>R32</f>
        <v>0</v>
      </c>
      <c r="S33" s="119">
        <f>S32</f>
        <v>0</v>
      </c>
      <c r="T33" s="119" t="s">
        <v>251</v>
      </c>
      <c r="U33" s="166"/>
      <c r="V33" s="119"/>
      <c r="W33" s="119"/>
      <c r="X33" s="164"/>
      <c r="Y33" s="137">
        <f>Y32</f>
        <v>0</v>
      </c>
      <c r="Z33" s="166">
        <f>Z32</f>
        <v>0</v>
      </c>
      <c r="AA33" s="166" t="s">
        <v>251</v>
      </c>
      <c r="AB33" s="166"/>
      <c r="AC33" s="166"/>
      <c r="AD33" s="167"/>
    </row>
    <row r="34" spans="1:30" ht="15.75">
      <c r="A34" s="265"/>
      <c r="B34" s="273"/>
      <c r="C34" s="118"/>
      <c r="D34" s="137">
        <f t="shared" ref="D34:D35" si="56">D33</f>
        <v>0</v>
      </c>
      <c r="E34" s="119">
        <f t="shared" ref="E34:E35" si="57">E33</f>
        <v>0</v>
      </c>
      <c r="F34" s="87"/>
      <c r="G34" s="92"/>
      <c r="H34" s="119"/>
      <c r="I34" s="119"/>
      <c r="J34" s="118"/>
      <c r="K34" s="182">
        <f t="shared" ref="K34:K35" si="58">K33</f>
        <v>0</v>
      </c>
      <c r="L34" s="119">
        <f t="shared" ref="L34:L35" si="59">L33</f>
        <v>0</v>
      </c>
      <c r="M34" s="87"/>
      <c r="N34" s="92"/>
      <c r="O34" s="100"/>
      <c r="P34" s="119"/>
      <c r="Q34" s="118"/>
      <c r="R34" s="182">
        <f t="shared" ref="R34:R35" si="60">R33</f>
        <v>0</v>
      </c>
      <c r="S34" s="119">
        <f t="shared" ref="S34:S35" si="61">S33</f>
        <v>0</v>
      </c>
      <c r="T34" s="119"/>
      <c r="U34" s="166"/>
      <c r="V34" s="119"/>
      <c r="W34" s="119"/>
      <c r="X34" s="164"/>
      <c r="Y34" s="137">
        <f t="shared" ref="Y34:Y35" si="62">Y33</f>
        <v>0</v>
      </c>
      <c r="Z34" s="166">
        <f t="shared" ref="Z34:Z35" si="63">Z33</f>
        <v>0</v>
      </c>
      <c r="AA34" s="166"/>
      <c r="AB34" s="166"/>
      <c r="AC34" s="166"/>
      <c r="AD34" s="167"/>
    </row>
    <row r="35" spans="1:30" ht="16.5" thickBot="1">
      <c r="A35" s="266"/>
      <c r="B35" s="274"/>
      <c r="C35" s="120"/>
      <c r="D35" s="138">
        <f t="shared" si="56"/>
        <v>0</v>
      </c>
      <c r="E35" s="121">
        <f t="shared" si="57"/>
        <v>0</v>
      </c>
      <c r="F35" s="87"/>
      <c r="G35" s="92"/>
      <c r="H35" s="121"/>
      <c r="I35" s="121"/>
      <c r="J35" s="120"/>
      <c r="K35" s="183">
        <f t="shared" si="58"/>
        <v>0</v>
      </c>
      <c r="L35" s="121">
        <f t="shared" si="59"/>
        <v>0</v>
      </c>
      <c r="M35" s="87"/>
      <c r="N35" s="92"/>
      <c r="O35" s="100"/>
      <c r="P35" s="121"/>
      <c r="Q35" s="120"/>
      <c r="R35" s="183">
        <f t="shared" si="60"/>
        <v>0</v>
      </c>
      <c r="S35" s="121">
        <f t="shared" si="61"/>
        <v>0</v>
      </c>
      <c r="T35" s="121"/>
      <c r="U35" s="169"/>
      <c r="V35" s="121"/>
      <c r="W35" s="121"/>
      <c r="X35" s="168"/>
      <c r="Y35" s="138">
        <f t="shared" si="62"/>
        <v>0</v>
      </c>
      <c r="Z35" s="169">
        <f t="shared" si="63"/>
        <v>0</v>
      </c>
      <c r="AA35" s="169"/>
      <c r="AB35" s="169"/>
      <c r="AC35" s="169"/>
      <c r="AD35" s="170"/>
    </row>
    <row r="36" spans="1:30" ht="16.5" thickBot="1">
      <c r="A36" s="264" t="s">
        <v>276</v>
      </c>
      <c r="B36" s="86" t="s">
        <v>239</v>
      </c>
      <c r="C36" s="88"/>
      <c r="D36" s="127"/>
      <c r="E36" s="89"/>
      <c r="F36" s="97"/>
      <c r="G36" s="97" t="s">
        <v>291</v>
      </c>
      <c r="H36" s="89"/>
      <c r="I36" s="89"/>
      <c r="J36" s="88" t="s">
        <v>49</v>
      </c>
      <c r="K36" s="172" t="str">
        <f>'2 Licence'!C13</f>
        <v>Propriétés des matériaux</v>
      </c>
      <c r="L36" s="89" t="s">
        <v>49</v>
      </c>
      <c r="M36" s="97"/>
      <c r="N36" s="97" t="s">
        <v>286</v>
      </c>
      <c r="O36" s="100"/>
      <c r="P36" s="90" t="s">
        <v>262</v>
      </c>
      <c r="Q36" s="88"/>
      <c r="R36" s="172"/>
      <c r="S36" s="89"/>
      <c r="T36" s="100" t="s">
        <v>251</v>
      </c>
      <c r="U36" s="100" t="s">
        <v>284</v>
      </c>
      <c r="V36" s="89"/>
      <c r="W36" s="89"/>
      <c r="X36" s="139"/>
      <c r="Y36" s="127"/>
      <c r="Z36" s="90"/>
      <c r="AA36" s="90"/>
      <c r="AB36" s="90"/>
      <c r="AC36" s="90"/>
      <c r="AD36" s="140"/>
    </row>
    <row r="37" spans="1:30" ht="15" customHeight="1" thickBot="1">
      <c r="A37" s="265"/>
      <c r="B37" s="267" t="s">
        <v>240</v>
      </c>
      <c r="C37" s="91"/>
      <c r="D37" s="128"/>
      <c r="E37" s="92"/>
      <c r="F37" s="100"/>
      <c r="G37" s="100"/>
      <c r="H37" s="92"/>
      <c r="I37" s="92"/>
      <c r="J37" s="91" t="s">
        <v>88</v>
      </c>
      <c r="K37" s="173" t="str">
        <f>'2 Licence'!C14</f>
        <v>Electricité industrielle</v>
      </c>
      <c r="L37" s="92" t="s">
        <v>31</v>
      </c>
      <c r="M37" s="100"/>
      <c r="N37" s="100" t="s">
        <v>287</v>
      </c>
      <c r="O37" s="100"/>
      <c r="P37" s="87" t="s">
        <v>263</v>
      </c>
      <c r="Q37" s="91"/>
      <c r="R37" s="173"/>
      <c r="S37" s="92"/>
      <c r="T37" s="100"/>
      <c r="U37" s="100" t="s">
        <v>284</v>
      </c>
      <c r="V37" s="92"/>
      <c r="W37" s="92"/>
      <c r="X37" s="141"/>
      <c r="Y37" s="127"/>
      <c r="Z37" s="87"/>
      <c r="AA37" s="87" t="s">
        <v>250</v>
      </c>
      <c r="AB37" s="87"/>
      <c r="AC37" s="87"/>
      <c r="AD37" s="142"/>
    </row>
    <row r="38" spans="1:30" ht="15" customHeight="1" thickBot="1">
      <c r="A38" s="265"/>
      <c r="B38" s="268"/>
      <c r="C38" s="93"/>
      <c r="D38" s="128">
        <f>D37</f>
        <v>0</v>
      </c>
      <c r="E38" s="92">
        <f>E37</f>
        <v>0</v>
      </c>
      <c r="F38" s="100"/>
      <c r="G38" s="100"/>
      <c r="H38" s="92"/>
      <c r="I38" s="92"/>
      <c r="J38" s="93" t="s">
        <v>274</v>
      </c>
      <c r="K38" s="173" t="str">
        <f>K37</f>
        <v>Electricité industrielle</v>
      </c>
      <c r="L38" s="92" t="str">
        <f>L37</f>
        <v>A.Boulegroune</v>
      </c>
      <c r="M38" s="100"/>
      <c r="N38" s="100" t="s">
        <v>289</v>
      </c>
      <c r="O38" s="103"/>
      <c r="P38" s="87" t="s">
        <v>263</v>
      </c>
      <c r="Q38" s="93"/>
      <c r="R38" s="173">
        <f>R37</f>
        <v>0</v>
      </c>
      <c r="S38" s="92">
        <f>S37</f>
        <v>0</v>
      </c>
      <c r="T38" s="100"/>
      <c r="U38" s="100"/>
      <c r="V38" s="92"/>
      <c r="W38" s="92"/>
      <c r="X38" s="143"/>
      <c r="Y38" s="127"/>
      <c r="Z38" s="87">
        <f>Z37</f>
        <v>0</v>
      </c>
      <c r="AA38" s="87" t="s">
        <v>251</v>
      </c>
      <c r="AB38" s="87"/>
      <c r="AC38" s="87"/>
      <c r="AD38" s="142"/>
    </row>
    <row r="39" spans="1:30" ht="15" customHeight="1" thickBot="1">
      <c r="A39" s="265"/>
      <c r="B39" s="268"/>
      <c r="C39" s="93"/>
      <c r="D39" s="128">
        <f t="shared" ref="D39:D41" si="64">D38</f>
        <v>0</v>
      </c>
      <c r="E39" s="92">
        <f t="shared" ref="E39:E41" si="65">E38</f>
        <v>0</v>
      </c>
      <c r="F39" s="100"/>
      <c r="G39" s="100"/>
      <c r="H39" s="92"/>
      <c r="I39" s="92"/>
      <c r="J39" s="93" t="s">
        <v>33</v>
      </c>
      <c r="K39" s="173" t="str">
        <f t="shared" ref="K39:K41" si="66">K38</f>
        <v>Electricité industrielle</v>
      </c>
      <c r="L39" s="92" t="str">
        <f t="shared" ref="L39:L41" si="67">L38</f>
        <v>A.Boulegroune</v>
      </c>
      <c r="M39" s="100"/>
      <c r="N39" s="100" t="s">
        <v>290</v>
      </c>
      <c r="O39" s="103"/>
      <c r="P39" s="87" t="s">
        <v>263</v>
      </c>
      <c r="Q39" s="93"/>
      <c r="R39" s="173">
        <f t="shared" ref="R39:R41" si="68">R38</f>
        <v>0</v>
      </c>
      <c r="S39" s="92">
        <f t="shared" ref="S39:S41" si="69">S38</f>
        <v>0</v>
      </c>
      <c r="T39" s="103" t="s">
        <v>250</v>
      </c>
      <c r="U39" s="103" t="s">
        <v>285</v>
      </c>
      <c r="V39" s="92"/>
      <c r="W39" s="92"/>
      <c r="X39" s="143"/>
      <c r="Y39" s="127"/>
      <c r="Z39" s="87">
        <f t="shared" ref="Z39:Z41" si="70">Z38</f>
        <v>0</v>
      </c>
      <c r="AA39" s="87" t="s">
        <v>252</v>
      </c>
      <c r="AB39" s="87"/>
      <c r="AC39" s="87"/>
      <c r="AD39" s="142"/>
    </row>
    <row r="40" spans="1:30" ht="15" customHeight="1" thickBot="1">
      <c r="A40" s="265"/>
      <c r="B40" s="268"/>
      <c r="C40" s="93"/>
      <c r="D40" s="128">
        <f t="shared" si="64"/>
        <v>0</v>
      </c>
      <c r="E40" s="92">
        <f t="shared" si="65"/>
        <v>0</v>
      </c>
      <c r="F40" s="100"/>
      <c r="G40" s="100"/>
      <c r="H40" s="92"/>
      <c r="I40" s="92"/>
      <c r="J40" s="93" t="s">
        <v>272</v>
      </c>
      <c r="K40" s="173" t="str">
        <f t="shared" si="66"/>
        <v>Electricité industrielle</v>
      </c>
      <c r="L40" s="92" t="str">
        <f t="shared" si="67"/>
        <v>A.Boulegroune</v>
      </c>
      <c r="M40" s="100"/>
      <c r="N40" s="100" t="s">
        <v>291</v>
      </c>
      <c r="O40" s="103"/>
      <c r="P40" s="87" t="s">
        <v>263</v>
      </c>
      <c r="Q40" s="93"/>
      <c r="R40" s="173">
        <f t="shared" si="68"/>
        <v>0</v>
      </c>
      <c r="S40" s="92">
        <f t="shared" si="69"/>
        <v>0</v>
      </c>
      <c r="T40" s="103"/>
      <c r="U40" s="103" t="s">
        <v>285</v>
      </c>
      <c r="V40" s="92"/>
      <c r="W40" s="92"/>
      <c r="X40" s="143"/>
      <c r="Y40" s="127"/>
      <c r="Z40" s="87">
        <f t="shared" si="70"/>
        <v>0</v>
      </c>
      <c r="AA40" s="87"/>
      <c r="AB40" s="87"/>
      <c r="AC40" s="87"/>
      <c r="AD40" s="142"/>
    </row>
    <row r="41" spans="1:30" ht="15" customHeight="1">
      <c r="A41" s="265"/>
      <c r="B41" s="268"/>
      <c r="C41" s="94"/>
      <c r="D41" s="128">
        <f t="shared" si="64"/>
        <v>0</v>
      </c>
      <c r="E41" s="92">
        <f t="shared" si="65"/>
        <v>0</v>
      </c>
      <c r="F41" s="103"/>
      <c r="G41" s="103"/>
      <c r="H41" s="92"/>
      <c r="I41" s="92"/>
      <c r="J41" s="94" t="s">
        <v>31</v>
      </c>
      <c r="K41" s="173" t="str">
        <f t="shared" si="66"/>
        <v>Electricité industrielle</v>
      </c>
      <c r="L41" s="92" t="str">
        <f t="shared" si="67"/>
        <v>A.Boulegroune</v>
      </c>
      <c r="M41" s="103"/>
      <c r="N41" s="103"/>
      <c r="O41" s="103"/>
      <c r="P41" s="87" t="s">
        <v>263</v>
      </c>
      <c r="Q41" s="94"/>
      <c r="R41" s="173">
        <f t="shared" si="68"/>
        <v>0</v>
      </c>
      <c r="S41" s="92">
        <f t="shared" si="69"/>
        <v>0</v>
      </c>
      <c r="T41" s="103"/>
      <c r="U41" s="103" t="s">
        <v>285</v>
      </c>
      <c r="V41" s="92"/>
      <c r="W41" s="92"/>
      <c r="X41" s="144"/>
      <c r="Y41" s="127"/>
      <c r="Z41" s="87">
        <f t="shared" si="70"/>
        <v>0</v>
      </c>
      <c r="AA41" s="87"/>
      <c r="AB41" s="87"/>
      <c r="AC41" s="87"/>
      <c r="AD41" s="142"/>
    </row>
    <row r="42" spans="1:30" ht="15.75">
      <c r="A42" s="265"/>
      <c r="B42" s="79" t="s">
        <v>241</v>
      </c>
      <c r="C42" s="95" t="s">
        <v>55</v>
      </c>
      <c r="D42" s="129" t="str">
        <f>'3 Licence'!C14</f>
        <v>Sécurité et environnement</v>
      </c>
      <c r="E42" s="96" t="s">
        <v>55</v>
      </c>
      <c r="F42" s="103"/>
      <c r="G42" s="103" t="s">
        <v>287</v>
      </c>
      <c r="H42" s="96"/>
      <c r="I42" s="96" t="str">
        <f>$B$42</f>
        <v>L3 Métallurgie</v>
      </c>
      <c r="J42" s="95"/>
      <c r="K42" s="174"/>
      <c r="L42" s="96"/>
      <c r="M42" s="103"/>
      <c r="N42" s="103"/>
      <c r="O42" s="106"/>
      <c r="P42" s="96"/>
      <c r="Q42" s="95"/>
      <c r="R42" s="174"/>
      <c r="S42" s="96"/>
      <c r="T42" s="103"/>
      <c r="U42" s="103"/>
      <c r="V42" s="96"/>
      <c r="W42" s="96" t="str">
        <f>$B$42</f>
        <v>L3 Métallurgie</v>
      </c>
      <c r="X42" s="145"/>
      <c r="Y42" s="129"/>
      <c r="Z42" s="97"/>
      <c r="AA42" s="97"/>
      <c r="AB42" s="97"/>
      <c r="AC42" s="97"/>
      <c r="AD42" s="146"/>
    </row>
    <row r="43" spans="1:30" ht="15" customHeight="1">
      <c r="A43" s="265"/>
      <c r="B43" s="269" t="s">
        <v>242</v>
      </c>
      <c r="C43" s="98" t="s">
        <v>273</v>
      </c>
      <c r="D43" s="130" t="str">
        <f>'3 Licence'!C15</f>
        <v>Système hydrauliques et pneumatiques</v>
      </c>
      <c r="E43" s="99" t="s">
        <v>100</v>
      </c>
      <c r="F43" s="103" t="s">
        <v>250</v>
      </c>
      <c r="G43" s="103" t="s">
        <v>284</v>
      </c>
      <c r="H43" s="99"/>
      <c r="I43" s="99" t="str">
        <f>$B$43</f>
        <v>L3 Construction</v>
      </c>
      <c r="J43" s="98"/>
      <c r="K43" s="175"/>
      <c r="L43" s="99"/>
      <c r="M43" s="103" t="s">
        <v>250</v>
      </c>
      <c r="N43" s="103"/>
      <c r="O43" s="109"/>
      <c r="P43" s="99"/>
      <c r="Q43" s="98"/>
      <c r="R43" s="175"/>
      <c r="S43" s="99"/>
      <c r="T43" s="106"/>
      <c r="U43" s="106" t="s">
        <v>288</v>
      </c>
      <c r="V43" s="99"/>
      <c r="W43" s="99" t="str">
        <f>$B$43</f>
        <v>L3 Construction</v>
      </c>
      <c r="X43" s="147"/>
      <c r="Y43" s="130"/>
      <c r="Z43" s="100"/>
      <c r="AA43" s="100" t="s">
        <v>250</v>
      </c>
      <c r="AB43" s="100"/>
      <c r="AC43" s="100"/>
      <c r="AD43" s="148"/>
    </row>
    <row r="44" spans="1:30" ht="15" customHeight="1">
      <c r="A44" s="265"/>
      <c r="B44" s="269"/>
      <c r="C44" s="98" t="s">
        <v>44</v>
      </c>
      <c r="D44" s="130" t="str">
        <f>D43</f>
        <v>Système hydrauliques et pneumatiques</v>
      </c>
      <c r="E44" s="99" t="str">
        <f>E43</f>
        <v>N.Chouchane</v>
      </c>
      <c r="F44" s="103" t="s">
        <v>250</v>
      </c>
      <c r="G44" s="103" t="s">
        <v>284</v>
      </c>
      <c r="H44" s="99"/>
      <c r="I44" s="99" t="str">
        <f t="shared" ref="I44:I46" si="71">$B$43</f>
        <v>L3 Construction</v>
      </c>
      <c r="J44" s="98"/>
      <c r="K44" s="175">
        <f>K43</f>
        <v>0</v>
      </c>
      <c r="L44" s="99">
        <f>L43</f>
        <v>0</v>
      </c>
      <c r="M44" s="103" t="s">
        <v>250</v>
      </c>
      <c r="N44" s="103"/>
      <c r="O44" s="109"/>
      <c r="P44" s="99"/>
      <c r="Q44" s="98"/>
      <c r="R44" s="175">
        <f>R43</f>
        <v>0</v>
      </c>
      <c r="S44" s="99">
        <f>S43</f>
        <v>0</v>
      </c>
      <c r="T44" s="109" t="s">
        <v>250</v>
      </c>
      <c r="U44" s="109" t="s">
        <v>286</v>
      </c>
      <c r="V44" s="99"/>
      <c r="W44" s="99" t="str">
        <f t="shared" ref="W44:W46" si="72">$B$43</f>
        <v>L3 Construction</v>
      </c>
      <c r="X44" s="147"/>
      <c r="Y44" s="130">
        <f>Y43</f>
        <v>0</v>
      </c>
      <c r="Z44" s="100">
        <f>Z43</f>
        <v>0</v>
      </c>
      <c r="AA44" s="100" t="s">
        <v>251</v>
      </c>
      <c r="AB44" s="100"/>
      <c r="AC44" s="100"/>
      <c r="AD44" s="148"/>
    </row>
    <row r="45" spans="1:30" ht="15" customHeight="1">
      <c r="A45" s="265"/>
      <c r="B45" s="269"/>
      <c r="C45" s="98" t="s">
        <v>42</v>
      </c>
      <c r="D45" s="130" t="str">
        <f t="shared" ref="D45:D46" si="73">D44</f>
        <v>Système hydrauliques et pneumatiques</v>
      </c>
      <c r="E45" s="99" t="str">
        <f t="shared" ref="E45:E46" si="74">E44</f>
        <v>N.Chouchane</v>
      </c>
      <c r="F45" s="106"/>
      <c r="G45" s="106"/>
      <c r="H45" s="99"/>
      <c r="I45" s="99" t="str">
        <f t="shared" si="71"/>
        <v>L3 Construction</v>
      </c>
      <c r="J45" s="98"/>
      <c r="K45" s="175">
        <f t="shared" ref="K45:K46" si="75">K44</f>
        <v>0</v>
      </c>
      <c r="L45" s="99">
        <f t="shared" ref="L45:L46" si="76">L44</f>
        <v>0</v>
      </c>
      <c r="M45" s="106"/>
      <c r="N45" s="106"/>
      <c r="O45" s="109"/>
      <c r="P45" s="99"/>
      <c r="Q45" s="98"/>
      <c r="R45" s="175">
        <f t="shared" ref="R45:R46" si="77">R44</f>
        <v>0</v>
      </c>
      <c r="S45" s="99">
        <f t="shared" ref="S45:S46" si="78">S44</f>
        <v>0</v>
      </c>
      <c r="T45" s="109" t="s">
        <v>251</v>
      </c>
      <c r="U45" s="109" t="s">
        <v>286</v>
      </c>
      <c r="V45" s="99"/>
      <c r="W45" s="99" t="str">
        <f t="shared" si="72"/>
        <v>L3 Construction</v>
      </c>
      <c r="X45" s="147"/>
      <c r="Y45" s="130">
        <f t="shared" ref="Y45:Y46" si="79">Y44</f>
        <v>0</v>
      </c>
      <c r="Z45" s="100">
        <f t="shared" ref="Z45:Z46" si="80">Z44</f>
        <v>0</v>
      </c>
      <c r="AA45" s="100"/>
      <c r="AB45" s="100"/>
      <c r="AC45" s="100"/>
      <c r="AD45" s="148"/>
    </row>
    <row r="46" spans="1:30" ht="15" customHeight="1">
      <c r="A46" s="265"/>
      <c r="B46" s="269"/>
      <c r="C46" s="98" t="s">
        <v>130</v>
      </c>
      <c r="D46" s="130" t="str">
        <f t="shared" si="73"/>
        <v>Système hydrauliques et pneumatiques</v>
      </c>
      <c r="E46" s="99" t="str">
        <f t="shared" si="74"/>
        <v>N.Chouchane</v>
      </c>
      <c r="F46" s="109"/>
      <c r="G46" s="109"/>
      <c r="H46" s="99"/>
      <c r="I46" s="99" t="str">
        <f t="shared" si="71"/>
        <v>L3 Construction</v>
      </c>
      <c r="J46" s="98"/>
      <c r="K46" s="175">
        <f t="shared" si="75"/>
        <v>0</v>
      </c>
      <c r="L46" s="99">
        <f t="shared" si="76"/>
        <v>0</v>
      </c>
      <c r="M46" s="109"/>
      <c r="N46" s="109"/>
      <c r="O46" s="109"/>
      <c r="P46" s="99"/>
      <c r="Q46" s="98"/>
      <c r="R46" s="175">
        <f t="shared" si="77"/>
        <v>0</v>
      </c>
      <c r="S46" s="99">
        <f t="shared" si="78"/>
        <v>0</v>
      </c>
      <c r="T46" s="109"/>
      <c r="U46" s="109" t="s">
        <v>286</v>
      </c>
      <c r="V46" s="99"/>
      <c r="W46" s="99" t="str">
        <f t="shared" si="72"/>
        <v>L3 Construction</v>
      </c>
      <c r="X46" s="147"/>
      <c r="Y46" s="130">
        <f t="shared" si="79"/>
        <v>0</v>
      </c>
      <c r="Z46" s="100">
        <f t="shared" si="80"/>
        <v>0</v>
      </c>
      <c r="AA46" s="100"/>
      <c r="AB46" s="100"/>
      <c r="AC46" s="100"/>
      <c r="AD46" s="148"/>
    </row>
    <row r="47" spans="1:30" ht="15" customHeight="1">
      <c r="A47" s="265"/>
      <c r="B47" s="270" t="s">
        <v>243</v>
      </c>
      <c r="C47" s="101" t="s">
        <v>88</v>
      </c>
      <c r="D47" s="131" t="str">
        <f>'3 Licence'!C17</f>
        <v>Cryogénie</v>
      </c>
      <c r="E47" s="102" t="s">
        <v>65</v>
      </c>
      <c r="F47" s="109" t="s">
        <v>250</v>
      </c>
      <c r="G47" s="109" t="s">
        <v>285</v>
      </c>
      <c r="H47" s="102"/>
      <c r="I47" s="102" t="str">
        <f>$B$47</f>
        <v>L3 Energétique</v>
      </c>
      <c r="J47" s="101"/>
      <c r="K47" s="176"/>
      <c r="L47" s="102"/>
      <c r="M47" s="109" t="s">
        <v>250</v>
      </c>
      <c r="N47" s="109"/>
      <c r="O47" s="112"/>
      <c r="P47" s="102"/>
      <c r="Q47" s="101"/>
      <c r="R47" s="176"/>
      <c r="S47" s="102"/>
      <c r="T47" s="109"/>
      <c r="U47" s="109"/>
      <c r="V47" s="102"/>
      <c r="W47" s="102" t="str">
        <f>$B$47</f>
        <v>L3 Energétique</v>
      </c>
      <c r="X47" s="149"/>
      <c r="Y47" s="131"/>
      <c r="Z47" s="103"/>
      <c r="AA47" s="103" t="s">
        <v>250</v>
      </c>
      <c r="AB47" s="103"/>
      <c r="AC47" s="103"/>
      <c r="AD47" s="150"/>
    </row>
    <row r="48" spans="1:30" ht="15" customHeight="1">
      <c r="A48" s="265"/>
      <c r="B48" s="270"/>
      <c r="C48" s="101" t="s">
        <v>33</v>
      </c>
      <c r="D48" s="131" t="str">
        <f>D47</f>
        <v>Cryogénie</v>
      </c>
      <c r="E48" s="102" t="str">
        <f>E47</f>
        <v>N.Boultif</v>
      </c>
      <c r="F48" s="109"/>
      <c r="G48" s="109"/>
      <c r="H48" s="102"/>
      <c r="I48" s="102" t="str">
        <f t="shared" ref="I48:I50" si="81">$B$47</f>
        <v>L3 Energétique</v>
      </c>
      <c r="J48" s="101"/>
      <c r="K48" s="176">
        <f>K47</f>
        <v>0</v>
      </c>
      <c r="L48" s="102">
        <f>L47</f>
        <v>0</v>
      </c>
      <c r="M48" s="109"/>
      <c r="N48" s="109"/>
      <c r="O48" s="112"/>
      <c r="P48" s="102"/>
      <c r="Q48" s="101"/>
      <c r="R48" s="176">
        <f>R47</f>
        <v>0</v>
      </c>
      <c r="S48" s="102">
        <f>S47</f>
        <v>0</v>
      </c>
      <c r="T48" s="112" t="s">
        <v>250</v>
      </c>
      <c r="U48" s="112" t="s">
        <v>289</v>
      </c>
      <c r="V48" s="102"/>
      <c r="W48" s="102" t="str">
        <f t="shared" ref="W48:W50" si="82">$B$47</f>
        <v>L3 Energétique</v>
      </c>
      <c r="X48" s="149"/>
      <c r="Y48" s="131">
        <f>Y47</f>
        <v>0</v>
      </c>
      <c r="Z48" s="103">
        <f>Z47</f>
        <v>0</v>
      </c>
      <c r="AA48" s="103" t="s">
        <v>251</v>
      </c>
      <c r="AB48" s="103"/>
      <c r="AC48" s="103"/>
      <c r="AD48" s="150"/>
    </row>
    <row r="49" spans="1:30" ht="15" customHeight="1">
      <c r="A49" s="265"/>
      <c r="B49" s="270"/>
      <c r="C49" s="101" t="s">
        <v>51</v>
      </c>
      <c r="D49" s="131" t="str">
        <f t="shared" ref="D49:D50" si="83">D48</f>
        <v>Cryogénie</v>
      </c>
      <c r="E49" s="102" t="str">
        <f t="shared" ref="E49:E50" si="84">E48</f>
        <v>N.Boultif</v>
      </c>
      <c r="F49" s="109"/>
      <c r="G49" s="109"/>
      <c r="H49" s="102"/>
      <c r="I49" s="102" t="str">
        <f t="shared" si="81"/>
        <v>L3 Energétique</v>
      </c>
      <c r="J49" s="101"/>
      <c r="K49" s="176">
        <f t="shared" ref="K49:K50" si="85">K48</f>
        <v>0</v>
      </c>
      <c r="L49" s="102">
        <f t="shared" ref="L49:L50" si="86">L48</f>
        <v>0</v>
      </c>
      <c r="M49" s="109"/>
      <c r="N49" s="109"/>
      <c r="O49" s="112"/>
      <c r="P49" s="102"/>
      <c r="Q49" s="101"/>
      <c r="R49" s="176">
        <f t="shared" ref="R49:R50" si="87">R48</f>
        <v>0</v>
      </c>
      <c r="S49" s="102">
        <f t="shared" ref="S49:S50" si="88">S48</f>
        <v>0</v>
      </c>
      <c r="T49" s="112" t="s">
        <v>251</v>
      </c>
      <c r="U49" s="112" t="s">
        <v>290</v>
      </c>
      <c r="V49" s="102"/>
      <c r="W49" s="102" t="str">
        <f t="shared" si="82"/>
        <v>L3 Energétique</v>
      </c>
      <c r="X49" s="149"/>
      <c r="Y49" s="131">
        <f t="shared" ref="Y49:Y50" si="89">Y48</f>
        <v>0</v>
      </c>
      <c r="Z49" s="103">
        <f t="shared" ref="Z49:Z50" si="90">Z48</f>
        <v>0</v>
      </c>
      <c r="AA49" s="103"/>
      <c r="AB49" s="103"/>
      <c r="AC49" s="103"/>
      <c r="AD49" s="150"/>
    </row>
    <row r="50" spans="1:30" ht="15" customHeight="1">
      <c r="A50" s="265"/>
      <c r="B50" s="270"/>
      <c r="C50" s="101" t="s">
        <v>61</v>
      </c>
      <c r="D50" s="131" t="str">
        <f t="shared" si="83"/>
        <v>Cryogénie</v>
      </c>
      <c r="E50" s="102" t="str">
        <f t="shared" si="84"/>
        <v>N.Boultif</v>
      </c>
      <c r="F50" s="112"/>
      <c r="G50" s="112"/>
      <c r="H50" s="102"/>
      <c r="I50" s="102" t="str">
        <f t="shared" si="81"/>
        <v>L3 Energétique</v>
      </c>
      <c r="J50" s="101"/>
      <c r="K50" s="176">
        <f t="shared" si="85"/>
        <v>0</v>
      </c>
      <c r="L50" s="102">
        <f t="shared" si="86"/>
        <v>0</v>
      </c>
      <c r="M50" s="112"/>
      <c r="N50" s="112"/>
      <c r="O50" s="112"/>
      <c r="P50" s="102"/>
      <c r="Q50" s="101"/>
      <c r="R50" s="176">
        <f t="shared" si="87"/>
        <v>0</v>
      </c>
      <c r="S50" s="102">
        <f t="shared" si="88"/>
        <v>0</v>
      </c>
      <c r="T50" s="112"/>
      <c r="U50" s="112"/>
      <c r="V50" s="102"/>
      <c r="W50" s="102" t="str">
        <f t="shared" si="82"/>
        <v>L3 Energétique</v>
      </c>
      <c r="X50" s="149"/>
      <c r="Y50" s="131">
        <f t="shared" si="89"/>
        <v>0</v>
      </c>
      <c r="Z50" s="103">
        <f t="shared" si="90"/>
        <v>0</v>
      </c>
      <c r="AA50" s="103"/>
      <c r="AB50" s="103"/>
      <c r="AC50" s="103"/>
      <c r="AD50" s="150"/>
    </row>
    <row r="51" spans="1:30" ht="15.75">
      <c r="A51" s="265"/>
      <c r="B51" s="80" t="s">
        <v>244</v>
      </c>
      <c r="C51" s="104" t="s">
        <v>110</v>
      </c>
      <c r="D51" s="132" t="str">
        <f>'Maset I'!C14</f>
        <v>Matériaux métallique</v>
      </c>
      <c r="E51" s="123" t="s">
        <v>110</v>
      </c>
      <c r="F51" s="112"/>
      <c r="G51" s="112" t="s">
        <v>293</v>
      </c>
      <c r="H51" s="105"/>
      <c r="I51" s="105" t="str">
        <f>$B$51</f>
        <v>M1 Métallurgie</v>
      </c>
      <c r="J51" s="104"/>
      <c r="K51" s="177"/>
      <c r="L51" s="123"/>
      <c r="M51" s="112"/>
      <c r="N51" s="112"/>
      <c r="O51" s="105"/>
      <c r="P51" s="105"/>
      <c r="Q51" s="104"/>
      <c r="R51" s="317" t="s">
        <v>296</v>
      </c>
      <c r="S51" s="123" t="s">
        <v>88</v>
      </c>
      <c r="T51" s="112"/>
      <c r="U51" s="112"/>
      <c r="V51" s="105"/>
      <c r="W51" s="105" t="str">
        <f>$B$51</f>
        <v>M1 Métallurgie</v>
      </c>
      <c r="X51" s="151"/>
      <c r="Y51" s="132"/>
      <c r="Z51" s="152"/>
      <c r="AA51" s="106"/>
      <c r="AB51" s="106"/>
      <c r="AC51" s="106"/>
      <c r="AD51" s="153"/>
    </row>
    <row r="52" spans="1:30" ht="15" customHeight="1">
      <c r="A52" s="265"/>
      <c r="B52" s="271" t="s">
        <v>245</v>
      </c>
      <c r="C52" s="107" t="s">
        <v>260</v>
      </c>
      <c r="D52" s="133" t="str">
        <f>'Maset I'!C15</f>
        <v>Panier au choix (Electronique générale)</v>
      </c>
      <c r="E52" s="126" t="s">
        <v>31</v>
      </c>
      <c r="F52" s="103" t="s">
        <v>250</v>
      </c>
      <c r="G52" s="112" t="s">
        <v>286</v>
      </c>
      <c r="H52" s="108"/>
      <c r="I52" s="108" t="str">
        <f>$B$52</f>
        <v>M1 Construction</v>
      </c>
      <c r="J52" s="107"/>
      <c r="K52" s="178"/>
      <c r="L52" s="126"/>
      <c r="M52" s="112"/>
      <c r="N52" s="112"/>
      <c r="O52" s="108"/>
      <c r="P52" s="108"/>
      <c r="Q52" s="107"/>
      <c r="R52" s="317" t="s">
        <v>296</v>
      </c>
      <c r="S52" s="126" t="s">
        <v>88</v>
      </c>
      <c r="T52" s="115"/>
      <c r="U52" s="115"/>
      <c r="V52" s="108"/>
      <c r="W52" s="108" t="str">
        <f>$B$52</f>
        <v>M1 Construction</v>
      </c>
      <c r="X52" s="154"/>
      <c r="Y52" s="133"/>
      <c r="Z52" s="155"/>
      <c r="AA52" s="109" t="s">
        <v>250</v>
      </c>
      <c r="AB52" s="109"/>
      <c r="AC52" s="109"/>
      <c r="AD52" s="156"/>
    </row>
    <row r="53" spans="1:30" ht="15" customHeight="1">
      <c r="A53" s="265"/>
      <c r="B53" s="271"/>
      <c r="C53" s="107" t="s">
        <v>32</v>
      </c>
      <c r="D53" s="133" t="str">
        <f>D52</f>
        <v>Panier au choix (Electronique générale)</v>
      </c>
      <c r="E53" s="108" t="str">
        <f>E52</f>
        <v>A.Boulegroune</v>
      </c>
      <c r="F53" s="103"/>
      <c r="G53" s="112"/>
      <c r="H53" s="108"/>
      <c r="I53" s="108" t="str">
        <f t="shared" ref="I53:I55" si="91">$B$52</f>
        <v>M1 Construction</v>
      </c>
      <c r="J53" s="107"/>
      <c r="K53" s="178">
        <f>K52</f>
        <v>0</v>
      </c>
      <c r="L53" s="108">
        <f>L52</f>
        <v>0</v>
      </c>
      <c r="M53" s="112"/>
      <c r="N53" s="112"/>
      <c r="O53" s="108"/>
      <c r="P53" s="108"/>
      <c r="Q53" s="107"/>
      <c r="R53" s="178" t="str">
        <f>R52</f>
        <v>Respect des normes et des règles d’éthique et d’intégrité (à distance)</v>
      </c>
      <c r="S53" s="108" t="str">
        <f>S52</f>
        <v>A.Benchabane</v>
      </c>
      <c r="T53" s="117" t="s">
        <v>250</v>
      </c>
      <c r="U53" s="117"/>
      <c r="V53" s="108"/>
      <c r="W53" s="108" t="str">
        <f t="shared" ref="W53:W55" si="92">$B$52</f>
        <v>M1 Construction</v>
      </c>
      <c r="X53" s="154"/>
      <c r="Y53" s="133">
        <f>Y52</f>
        <v>0</v>
      </c>
      <c r="Z53" s="109">
        <f>Z52</f>
        <v>0</v>
      </c>
      <c r="AA53" s="109" t="s">
        <v>251</v>
      </c>
      <c r="AB53" s="109"/>
      <c r="AC53" s="109"/>
      <c r="AD53" s="156"/>
    </row>
    <row r="54" spans="1:30" ht="15" customHeight="1">
      <c r="A54" s="265"/>
      <c r="B54" s="271"/>
      <c r="C54" s="107" t="s">
        <v>31</v>
      </c>
      <c r="D54" s="133" t="str">
        <f t="shared" ref="D54" si="93">D53</f>
        <v>Panier au choix (Electronique générale)</v>
      </c>
      <c r="E54" s="108" t="str">
        <f t="shared" ref="E54" si="94">E53</f>
        <v>A.Boulegroune</v>
      </c>
      <c r="F54" s="115"/>
      <c r="G54" s="115"/>
      <c r="H54" s="108"/>
      <c r="I54" s="108" t="str">
        <f t="shared" si="91"/>
        <v>M1 Construction</v>
      </c>
      <c r="J54" s="107"/>
      <c r="K54" s="178">
        <f t="shared" ref="K54:K55" si="95">K53</f>
        <v>0</v>
      </c>
      <c r="L54" s="108">
        <f t="shared" ref="L54:L55" si="96">L53</f>
        <v>0</v>
      </c>
      <c r="M54" s="115"/>
      <c r="N54" s="115"/>
      <c r="O54" s="108"/>
      <c r="P54" s="108"/>
      <c r="Q54" s="107"/>
      <c r="R54" s="178" t="str">
        <f t="shared" ref="R54:R55" si="97">R53</f>
        <v>Respect des normes et des règles d’éthique et d’intégrité (à distance)</v>
      </c>
      <c r="S54" s="108" t="str">
        <f t="shared" ref="S54:S55" si="98">S53</f>
        <v>A.Benchabane</v>
      </c>
      <c r="T54" s="117" t="s">
        <v>251</v>
      </c>
      <c r="U54" s="117"/>
      <c r="V54" s="108"/>
      <c r="W54" s="108" t="str">
        <f t="shared" si="92"/>
        <v>M1 Construction</v>
      </c>
      <c r="X54" s="154"/>
      <c r="Y54" s="133">
        <f t="shared" ref="Y54:Y55" si="99">Y53</f>
        <v>0</v>
      </c>
      <c r="Z54" s="109">
        <f t="shared" ref="Z54:Z55" si="100">Z53</f>
        <v>0</v>
      </c>
      <c r="AA54" s="109"/>
      <c r="AB54" s="109"/>
      <c r="AC54" s="109"/>
      <c r="AD54" s="156"/>
    </row>
    <row r="55" spans="1:30" ht="15" customHeight="1">
      <c r="A55" s="265"/>
      <c r="B55" s="271"/>
      <c r="C55" s="107"/>
      <c r="D55" s="133"/>
      <c r="E55" s="108"/>
      <c r="F55" s="117"/>
      <c r="G55" s="117"/>
      <c r="H55" s="108"/>
      <c r="I55" s="108" t="str">
        <f t="shared" si="91"/>
        <v>M1 Construction</v>
      </c>
      <c r="J55" s="107"/>
      <c r="K55" s="178">
        <f t="shared" si="95"/>
        <v>0</v>
      </c>
      <c r="L55" s="108">
        <f t="shared" si="96"/>
        <v>0</v>
      </c>
      <c r="M55" s="117"/>
      <c r="N55" s="117"/>
      <c r="O55" s="108"/>
      <c r="P55" s="108"/>
      <c r="Q55" s="107"/>
      <c r="R55" s="178" t="str">
        <f t="shared" si="97"/>
        <v>Respect des normes et des règles d’éthique et d’intégrité (à distance)</v>
      </c>
      <c r="S55" s="108" t="str">
        <f t="shared" si="98"/>
        <v>A.Benchabane</v>
      </c>
      <c r="T55" s="116"/>
      <c r="U55" s="117"/>
      <c r="V55" s="108"/>
      <c r="W55" s="108" t="str">
        <f t="shared" si="92"/>
        <v>M1 Construction</v>
      </c>
      <c r="X55" s="154"/>
      <c r="Y55" s="133">
        <f t="shared" si="99"/>
        <v>0</v>
      </c>
      <c r="Z55" s="109">
        <f t="shared" si="100"/>
        <v>0</v>
      </c>
      <c r="AA55" s="109"/>
      <c r="AB55" s="109"/>
      <c r="AC55" s="109"/>
      <c r="AD55" s="156"/>
    </row>
    <row r="56" spans="1:30" ht="15" customHeight="1">
      <c r="A56" s="265"/>
      <c r="B56" s="272" t="s">
        <v>246</v>
      </c>
      <c r="C56" s="110" t="s">
        <v>49</v>
      </c>
      <c r="D56" s="134" t="str">
        <f>'Maset I'!C17</f>
        <v>Panier au choix (Energie renouvelable)</v>
      </c>
      <c r="E56" s="124" t="s">
        <v>98</v>
      </c>
      <c r="F56" s="117" t="s">
        <v>250</v>
      </c>
      <c r="G56" s="117" t="s">
        <v>289</v>
      </c>
      <c r="H56" s="111"/>
      <c r="I56" s="111" t="str">
        <f>$B$56</f>
        <v>M1 Energétique</v>
      </c>
      <c r="J56" s="110"/>
      <c r="K56" s="179"/>
      <c r="L56" s="124"/>
      <c r="M56" s="117" t="s">
        <v>250</v>
      </c>
      <c r="N56" s="117" t="s">
        <v>289</v>
      </c>
      <c r="O56" s="111"/>
      <c r="P56" s="111"/>
      <c r="Q56" s="110"/>
      <c r="R56" s="317" t="s">
        <v>296</v>
      </c>
      <c r="S56" s="124" t="s">
        <v>88</v>
      </c>
      <c r="T56" s="116"/>
      <c r="U56" s="117"/>
      <c r="V56" s="111"/>
      <c r="W56" s="111" t="str">
        <f>$B$56</f>
        <v>M1 Energétique</v>
      </c>
      <c r="X56" s="157"/>
      <c r="Y56" s="134"/>
      <c r="Z56" s="158"/>
      <c r="AA56" s="112" t="s">
        <v>250</v>
      </c>
      <c r="AB56" s="112"/>
      <c r="AC56" s="112"/>
      <c r="AD56" s="159"/>
    </row>
    <row r="57" spans="1:30" ht="15" customHeight="1">
      <c r="A57" s="265"/>
      <c r="B57" s="272"/>
      <c r="C57" s="110" t="s">
        <v>65</v>
      </c>
      <c r="D57" s="134" t="str">
        <f>D56</f>
        <v>Panier au choix (Energie renouvelable)</v>
      </c>
      <c r="E57" s="111" t="str">
        <f>E56</f>
        <v>A.Moummi</v>
      </c>
      <c r="F57" s="116" t="s">
        <v>292</v>
      </c>
      <c r="G57" s="117" t="s">
        <v>290</v>
      </c>
      <c r="H57" s="111"/>
      <c r="I57" s="111" t="str">
        <f t="shared" ref="I57:I59" si="101">$B$56</f>
        <v>M1 Energétique</v>
      </c>
      <c r="J57" s="110"/>
      <c r="K57" s="179">
        <f>K56</f>
        <v>0</v>
      </c>
      <c r="L57" s="111">
        <f>L56</f>
        <v>0</v>
      </c>
      <c r="M57" s="116" t="s">
        <v>292</v>
      </c>
      <c r="N57" s="117" t="s">
        <v>290</v>
      </c>
      <c r="O57" s="111"/>
      <c r="P57" s="111"/>
      <c r="Q57" s="110"/>
      <c r="R57" s="179" t="str">
        <f>R56</f>
        <v>Respect des normes et des règles d’éthique et d’intégrité (à distance)</v>
      </c>
      <c r="S57" s="111" t="str">
        <f>S56</f>
        <v>A.Benchabane</v>
      </c>
      <c r="T57" s="119" t="s">
        <v>250</v>
      </c>
      <c r="U57" s="166"/>
      <c r="V57" s="111"/>
      <c r="W57" s="111" t="str">
        <f t="shared" ref="W57:W59" si="102">$B$56</f>
        <v>M1 Energétique</v>
      </c>
      <c r="X57" s="157"/>
      <c r="Y57" s="134">
        <f>Y56</f>
        <v>0</v>
      </c>
      <c r="Z57" s="112">
        <f>Z56</f>
        <v>0</v>
      </c>
      <c r="AA57" s="112" t="s">
        <v>251</v>
      </c>
      <c r="AB57" s="112"/>
      <c r="AC57" s="112"/>
      <c r="AD57" s="159"/>
    </row>
    <row r="58" spans="1:30" ht="15" customHeight="1">
      <c r="A58" s="265"/>
      <c r="B58" s="272"/>
      <c r="C58" s="110" t="s">
        <v>69</v>
      </c>
      <c r="D58" s="134" t="str">
        <f t="shared" ref="D58:D59" si="103">D57</f>
        <v>Panier au choix (Energie renouvelable)</v>
      </c>
      <c r="E58" s="111" t="str">
        <f t="shared" ref="E58:E59" si="104">E57</f>
        <v>A.Moummi</v>
      </c>
      <c r="F58" s="116"/>
      <c r="G58" s="117"/>
      <c r="H58" s="111"/>
      <c r="I58" s="111" t="str">
        <f t="shared" si="101"/>
        <v>M1 Energétique</v>
      </c>
      <c r="J58" s="110"/>
      <c r="K58" s="179">
        <f t="shared" ref="K58:K59" si="105">K57</f>
        <v>0</v>
      </c>
      <c r="L58" s="111">
        <f t="shared" ref="L58:L59" si="106">L57</f>
        <v>0</v>
      </c>
      <c r="M58" s="116"/>
      <c r="N58" s="117"/>
      <c r="O58" s="111"/>
      <c r="P58" s="111"/>
      <c r="Q58" s="110"/>
      <c r="R58" s="179" t="str">
        <f t="shared" ref="R58:R59" si="107">R57</f>
        <v>Respect des normes et des règles d’éthique et d’intégrité (à distance)</v>
      </c>
      <c r="S58" s="111" t="str">
        <f t="shared" ref="S58:S59" si="108">S57</f>
        <v>A.Benchabane</v>
      </c>
      <c r="T58" s="119" t="s">
        <v>251</v>
      </c>
      <c r="U58" s="166"/>
      <c r="V58" s="111"/>
      <c r="W58" s="111" t="str">
        <f t="shared" si="102"/>
        <v>M1 Energétique</v>
      </c>
      <c r="X58" s="157"/>
      <c r="Y58" s="134">
        <f t="shared" ref="Y58:Y59" si="109">Y57</f>
        <v>0</v>
      </c>
      <c r="Z58" s="112">
        <f t="shared" ref="Z58:Z59" si="110">Z57</f>
        <v>0</v>
      </c>
      <c r="AA58" s="112"/>
      <c r="AB58" s="112"/>
      <c r="AC58" s="112"/>
      <c r="AD58" s="159"/>
    </row>
    <row r="59" spans="1:30" ht="15" customHeight="1">
      <c r="A59" s="265"/>
      <c r="B59" s="272"/>
      <c r="C59" s="110" t="s">
        <v>98</v>
      </c>
      <c r="D59" s="134" t="str">
        <f t="shared" si="103"/>
        <v>Panier au choix (Energie renouvelable)</v>
      </c>
      <c r="E59" s="111" t="str">
        <f t="shared" si="104"/>
        <v>A.Moummi</v>
      </c>
      <c r="F59" s="119"/>
      <c r="G59" s="166"/>
      <c r="H59" s="111"/>
      <c r="I59" s="111" t="str">
        <f t="shared" si="101"/>
        <v>M1 Energétique</v>
      </c>
      <c r="J59" s="110"/>
      <c r="K59" s="179">
        <f t="shared" si="105"/>
        <v>0</v>
      </c>
      <c r="L59" s="111">
        <f t="shared" si="106"/>
        <v>0</v>
      </c>
      <c r="M59" s="119"/>
      <c r="N59" s="166"/>
      <c r="O59" s="111"/>
      <c r="P59" s="111"/>
      <c r="Q59" s="110"/>
      <c r="R59" s="179" t="str">
        <f t="shared" si="107"/>
        <v>Respect des normes et des règles d’éthique et d’intégrité (à distance)</v>
      </c>
      <c r="S59" s="111" t="str">
        <f t="shared" si="108"/>
        <v>A.Benchabane</v>
      </c>
      <c r="T59" s="119"/>
      <c r="U59" s="166"/>
      <c r="V59" s="111"/>
      <c r="W59" s="111" t="str">
        <f t="shared" si="102"/>
        <v>M1 Energétique</v>
      </c>
      <c r="X59" s="157"/>
      <c r="Y59" s="134">
        <f t="shared" si="109"/>
        <v>0</v>
      </c>
      <c r="Z59" s="112">
        <f t="shared" si="110"/>
        <v>0</v>
      </c>
      <c r="AA59" s="112"/>
      <c r="AB59" s="112"/>
      <c r="AC59" s="112"/>
      <c r="AD59" s="159"/>
    </row>
    <row r="60" spans="1:30" ht="16.5" thickBot="1">
      <c r="A60" s="265"/>
      <c r="B60" s="81" t="s">
        <v>247</v>
      </c>
      <c r="C60" s="113"/>
      <c r="D60" s="135"/>
      <c r="E60" s="122"/>
      <c r="F60" s="119"/>
      <c r="G60" s="166"/>
      <c r="H60" s="114"/>
      <c r="I60" s="114"/>
      <c r="J60" s="113"/>
      <c r="K60" s="180"/>
      <c r="L60" s="122"/>
      <c r="M60" s="119"/>
      <c r="N60" s="166"/>
      <c r="O60" s="114"/>
      <c r="P60" s="114"/>
      <c r="Q60" s="113"/>
      <c r="R60" s="180"/>
      <c r="S60" s="122"/>
      <c r="T60" s="121"/>
      <c r="U60" s="169"/>
      <c r="V60" s="114"/>
      <c r="W60" s="114"/>
      <c r="X60" s="160"/>
      <c r="Y60" s="135"/>
      <c r="Z60" s="161"/>
      <c r="AA60" s="115"/>
      <c r="AB60" s="115"/>
      <c r="AC60" s="115"/>
      <c r="AD60" s="162"/>
    </row>
    <row r="61" spans="1:30" ht="15" customHeight="1">
      <c r="A61" s="265"/>
      <c r="B61" s="268" t="s">
        <v>248</v>
      </c>
      <c r="C61" s="93"/>
      <c r="D61" s="136"/>
      <c r="E61" s="92"/>
      <c r="F61" s="119"/>
      <c r="G61" s="166"/>
      <c r="H61" s="116"/>
      <c r="I61" s="116"/>
      <c r="J61" s="93"/>
      <c r="K61" s="181"/>
      <c r="L61" s="92"/>
      <c r="M61" s="119"/>
      <c r="N61" s="166"/>
      <c r="O61" s="116"/>
      <c r="P61" s="116"/>
      <c r="Q61" s="93"/>
      <c r="R61" s="181"/>
      <c r="S61" s="92"/>
      <c r="T61" s="117" t="s">
        <v>250</v>
      </c>
      <c r="U61" s="117"/>
      <c r="V61" s="116"/>
      <c r="W61" s="116"/>
      <c r="X61" s="143"/>
      <c r="Y61" s="136"/>
      <c r="Z61" s="87"/>
      <c r="AA61" s="117" t="s">
        <v>250</v>
      </c>
      <c r="AB61" s="117"/>
      <c r="AC61" s="117"/>
      <c r="AD61" s="163"/>
    </row>
    <row r="62" spans="1:30" ht="15" customHeight="1" thickBot="1">
      <c r="A62" s="265"/>
      <c r="B62" s="268"/>
      <c r="C62" s="93"/>
      <c r="D62" s="136">
        <f>D61</f>
        <v>0</v>
      </c>
      <c r="E62" s="116">
        <f>E61</f>
        <v>0</v>
      </c>
      <c r="F62" s="121"/>
      <c r="G62" s="169"/>
      <c r="H62" s="116"/>
      <c r="I62" s="116"/>
      <c r="J62" s="93"/>
      <c r="K62" s="181">
        <f>K61</f>
        <v>0</v>
      </c>
      <c r="L62" s="116">
        <f>L61</f>
        <v>0</v>
      </c>
      <c r="M62" s="121"/>
      <c r="N62" s="169"/>
      <c r="O62" s="116"/>
      <c r="P62" s="116"/>
      <c r="Q62" s="93"/>
      <c r="R62" s="181">
        <f>R61</f>
        <v>0</v>
      </c>
      <c r="S62" s="116">
        <f>S61</f>
        <v>0</v>
      </c>
      <c r="T62" s="117" t="s">
        <v>251</v>
      </c>
      <c r="U62" s="117"/>
      <c r="V62" s="116"/>
      <c r="W62" s="116"/>
      <c r="X62" s="143"/>
      <c r="Y62" s="136">
        <f>Y61</f>
        <v>0</v>
      </c>
      <c r="Z62" s="117">
        <f>Z61</f>
        <v>0</v>
      </c>
      <c r="AA62" s="117" t="s">
        <v>251</v>
      </c>
      <c r="AB62" s="117"/>
      <c r="AC62" s="117"/>
      <c r="AD62" s="163"/>
    </row>
    <row r="63" spans="1:30" ht="15" customHeight="1">
      <c r="A63" s="265"/>
      <c r="B63" s="268"/>
      <c r="C63" s="93"/>
      <c r="D63" s="136">
        <f t="shared" ref="D63:D64" si="111">D62</f>
        <v>0</v>
      </c>
      <c r="E63" s="116">
        <f t="shared" ref="E63:E64" si="112">E62</f>
        <v>0</v>
      </c>
      <c r="F63" s="90"/>
      <c r="G63" s="89"/>
      <c r="H63" s="116"/>
      <c r="I63" s="116"/>
      <c r="J63" s="93"/>
      <c r="K63" s="181">
        <f t="shared" ref="K63:K64" si="113">K62</f>
        <v>0</v>
      </c>
      <c r="L63" s="116">
        <f t="shared" ref="L63:L64" si="114">L62</f>
        <v>0</v>
      </c>
      <c r="M63" s="90"/>
      <c r="N63" s="89"/>
      <c r="O63" s="116"/>
      <c r="P63" s="116"/>
      <c r="Q63" s="93"/>
      <c r="R63" s="181">
        <f t="shared" ref="R63:R64" si="115">R62</f>
        <v>0</v>
      </c>
      <c r="S63" s="116">
        <f t="shared" ref="S63:S64" si="116">S62</f>
        <v>0</v>
      </c>
      <c r="T63" s="116"/>
      <c r="U63" s="117"/>
      <c r="V63" s="116"/>
      <c r="W63" s="116"/>
      <c r="X63" s="143"/>
      <c r="Y63" s="136">
        <f t="shared" ref="Y63:Y64" si="117">Y62</f>
        <v>0</v>
      </c>
      <c r="Z63" s="117">
        <f t="shared" ref="Z63:Z64" si="118">Z62</f>
        <v>0</v>
      </c>
      <c r="AA63" s="117"/>
      <c r="AB63" s="117"/>
      <c r="AC63" s="117"/>
      <c r="AD63" s="163"/>
    </row>
    <row r="64" spans="1:30" ht="15" customHeight="1">
      <c r="A64" s="265"/>
      <c r="B64" s="268"/>
      <c r="C64" s="93"/>
      <c r="D64" s="136">
        <f t="shared" si="111"/>
        <v>0</v>
      </c>
      <c r="E64" s="116">
        <f t="shared" si="112"/>
        <v>0</v>
      </c>
      <c r="F64" s="87" t="s">
        <v>250</v>
      </c>
      <c r="G64" s="92"/>
      <c r="H64" s="116"/>
      <c r="I64" s="116"/>
      <c r="J64" s="93"/>
      <c r="K64" s="181">
        <f t="shared" si="113"/>
        <v>0</v>
      </c>
      <c r="L64" s="116">
        <f t="shared" si="114"/>
        <v>0</v>
      </c>
      <c r="M64" s="87" t="s">
        <v>250</v>
      </c>
      <c r="N64" s="92"/>
      <c r="O64" s="116"/>
      <c r="P64" s="116"/>
      <c r="Q64" s="93"/>
      <c r="R64" s="181">
        <f t="shared" si="115"/>
        <v>0</v>
      </c>
      <c r="S64" s="116">
        <f t="shared" si="116"/>
        <v>0</v>
      </c>
      <c r="T64" s="116"/>
      <c r="U64" s="117"/>
      <c r="V64" s="116"/>
      <c r="W64" s="116"/>
      <c r="X64" s="143"/>
      <c r="Y64" s="136">
        <f t="shared" si="117"/>
        <v>0</v>
      </c>
      <c r="Z64" s="117">
        <f t="shared" si="118"/>
        <v>0</v>
      </c>
      <c r="AA64" s="117"/>
      <c r="AB64" s="117"/>
      <c r="AC64" s="117"/>
      <c r="AD64" s="163"/>
    </row>
    <row r="65" spans="1:30" ht="15" customHeight="1">
      <c r="A65" s="265"/>
      <c r="B65" s="273" t="s">
        <v>249</v>
      </c>
      <c r="C65" s="118"/>
      <c r="D65" s="137"/>
      <c r="E65" s="125"/>
      <c r="F65" s="87" t="s">
        <v>251</v>
      </c>
      <c r="G65" s="92"/>
      <c r="H65" s="119"/>
      <c r="I65" s="119"/>
      <c r="J65" s="118"/>
      <c r="K65" s="182"/>
      <c r="L65" s="125"/>
      <c r="M65" s="87" t="s">
        <v>251</v>
      </c>
      <c r="N65" s="92"/>
      <c r="O65" s="119"/>
      <c r="P65" s="119"/>
      <c r="Q65" s="118"/>
      <c r="R65" s="182"/>
      <c r="S65" s="125"/>
      <c r="T65" s="119" t="s">
        <v>250</v>
      </c>
      <c r="U65" s="166"/>
      <c r="V65" s="119"/>
      <c r="W65" s="119"/>
      <c r="X65" s="164"/>
      <c r="Y65" s="137"/>
      <c r="Z65" s="165"/>
      <c r="AA65" s="166" t="s">
        <v>250</v>
      </c>
      <c r="AB65" s="166"/>
      <c r="AC65" s="166"/>
      <c r="AD65" s="167"/>
    </row>
    <row r="66" spans="1:30" ht="15" customHeight="1">
      <c r="A66" s="265"/>
      <c r="B66" s="273"/>
      <c r="C66" s="118"/>
      <c r="D66" s="137">
        <f>D65</f>
        <v>0</v>
      </c>
      <c r="E66" s="119">
        <f>E65</f>
        <v>0</v>
      </c>
      <c r="F66" s="87" t="s">
        <v>252</v>
      </c>
      <c r="G66" s="92"/>
      <c r="H66" s="119"/>
      <c r="I66" s="119"/>
      <c r="J66" s="118"/>
      <c r="K66" s="182">
        <f>K65</f>
        <v>0</v>
      </c>
      <c r="L66" s="119">
        <f>L65</f>
        <v>0</v>
      </c>
      <c r="M66" s="87" t="s">
        <v>252</v>
      </c>
      <c r="N66" s="92"/>
      <c r="O66" s="119"/>
      <c r="P66" s="119"/>
      <c r="Q66" s="118"/>
      <c r="R66" s="182">
        <f>R65</f>
        <v>0</v>
      </c>
      <c r="S66" s="119">
        <f>S65</f>
        <v>0</v>
      </c>
      <c r="T66" s="119" t="s">
        <v>251</v>
      </c>
      <c r="U66" s="166"/>
      <c r="V66" s="119"/>
      <c r="W66" s="119"/>
      <c r="X66" s="164"/>
      <c r="Y66" s="137">
        <f>Y65</f>
        <v>0</v>
      </c>
      <c r="Z66" s="166">
        <f>Z65</f>
        <v>0</v>
      </c>
      <c r="AA66" s="166" t="s">
        <v>251</v>
      </c>
      <c r="AB66" s="166"/>
      <c r="AC66" s="166"/>
      <c r="AD66" s="167"/>
    </row>
    <row r="67" spans="1:30" ht="15" customHeight="1">
      <c r="A67" s="265"/>
      <c r="B67" s="273"/>
      <c r="C67" s="118"/>
      <c r="D67" s="137">
        <f t="shared" ref="D67:D68" si="119">D66</f>
        <v>0</v>
      </c>
      <c r="E67" s="119">
        <f t="shared" ref="E67:E68" si="120">E66</f>
        <v>0</v>
      </c>
      <c r="F67" s="87"/>
      <c r="G67" s="92"/>
      <c r="H67" s="119"/>
      <c r="I67" s="119"/>
      <c r="J67" s="118"/>
      <c r="K67" s="182">
        <f t="shared" ref="K67:K68" si="121">K66</f>
        <v>0</v>
      </c>
      <c r="L67" s="119">
        <f t="shared" ref="L67:L68" si="122">L66</f>
        <v>0</v>
      </c>
      <c r="M67" s="87"/>
      <c r="N67" s="92"/>
      <c r="O67" s="119"/>
      <c r="P67" s="119"/>
      <c r="Q67" s="118"/>
      <c r="R67" s="182">
        <f t="shared" ref="R67:R68" si="123">R66</f>
        <v>0</v>
      </c>
      <c r="S67" s="119">
        <f t="shared" ref="S67:S68" si="124">S66</f>
        <v>0</v>
      </c>
      <c r="T67" s="119"/>
      <c r="U67" s="166"/>
      <c r="V67" s="119"/>
      <c r="W67" s="119"/>
      <c r="X67" s="164"/>
      <c r="Y67" s="137">
        <f t="shared" ref="Y67:Y68" si="125">Y66</f>
        <v>0</v>
      </c>
      <c r="Z67" s="166">
        <f t="shared" ref="Z67:Z68" si="126">Z66</f>
        <v>0</v>
      </c>
      <c r="AA67" s="166"/>
      <c r="AB67" s="166"/>
      <c r="AC67" s="166"/>
      <c r="AD67" s="167"/>
    </row>
    <row r="68" spans="1:30" ht="15.75" customHeight="1" thickBot="1">
      <c r="A68" s="266"/>
      <c r="B68" s="274"/>
      <c r="C68" s="120"/>
      <c r="D68" s="138">
        <f t="shared" si="119"/>
        <v>0</v>
      </c>
      <c r="E68" s="121">
        <f t="shared" si="120"/>
        <v>0</v>
      </c>
      <c r="F68" s="87"/>
      <c r="G68" s="92"/>
      <c r="H68" s="121"/>
      <c r="I68" s="121"/>
      <c r="J68" s="120"/>
      <c r="K68" s="183">
        <f t="shared" si="121"/>
        <v>0</v>
      </c>
      <c r="L68" s="121">
        <f t="shared" si="122"/>
        <v>0</v>
      </c>
      <c r="M68" s="87"/>
      <c r="N68" s="92"/>
      <c r="O68" s="121"/>
      <c r="P68" s="121"/>
      <c r="Q68" s="120"/>
      <c r="R68" s="183">
        <f t="shared" si="123"/>
        <v>0</v>
      </c>
      <c r="S68" s="121">
        <f t="shared" si="124"/>
        <v>0</v>
      </c>
      <c r="T68" s="121"/>
      <c r="U68" s="169"/>
      <c r="V68" s="121"/>
      <c r="W68" s="121"/>
      <c r="X68" s="168"/>
      <c r="Y68" s="138">
        <f t="shared" si="125"/>
        <v>0</v>
      </c>
      <c r="Z68" s="169">
        <f t="shared" si="126"/>
        <v>0</v>
      </c>
      <c r="AA68" s="169"/>
      <c r="AB68" s="169"/>
      <c r="AC68" s="169"/>
      <c r="AD68" s="170"/>
    </row>
    <row r="69" spans="1:30" ht="16.5" thickBot="1">
      <c r="A69" s="264" t="s">
        <v>264</v>
      </c>
      <c r="B69" s="86" t="s">
        <v>239</v>
      </c>
      <c r="C69" s="88"/>
      <c r="D69" s="127"/>
      <c r="E69" s="89"/>
      <c r="F69" s="97"/>
      <c r="G69" s="97" t="s">
        <v>291</v>
      </c>
      <c r="H69" s="89"/>
      <c r="I69" s="89"/>
      <c r="J69" s="88" t="s">
        <v>84</v>
      </c>
      <c r="K69" s="172" t="str">
        <f>'2 Licence'!C17</f>
        <v>Métallurgie extractive</v>
      </c>
      <c r="L69" s="89" t="s">
        <v>84</v>
      </c>
      <c r="M69" s="97"/>
      <c r="N69" s="97" t="s">
        <v>286</v>
      </c>
      <c r="O69" s="89"/>
      <c r="P69" s="90" t="s">
        <v>262</v>
      </c>
      <c r="Q69" s="88"/>
      <c r="R69" s="172"/>
      <c r="S69" s="89"/>
      <c r="T69" s="100" t="s">
        <v>251</v>
      </c>
      <c r="U69" s="100" t="s">
        <v>284</v>
      </c>
      <c r="V69" s="89"/>
      <c r="W69" s="89"/>
      <c r="X69" s="139"/>
      <c r="Y69" s="127"/>
      <c r="Z69" s="90"/>
      <c r="AA69" s="90"/>
      <c r="AB69" s="90"/>
      <c r="AC69" s="90"/>
      <c r="AD69" s="140"/>
    </row>
    <row r="70" spans="1:30" ht="15" customHeight="1">
      <c r="A70" s="265"/>
      <c r="B70" s="267" t="s">
        <v>240</v>
      </c>
      <c r="C70" s="91"/>
      <c r="D70" s="128"/>
      <c r="E70" s="92"/>
      <c r="F70" s="100"/>
      <c r="G70" s="100"/>
      <c r="H70" s="92"/>
      <c r="I70" s="92"/>
      <c r="J70" s="91" t="s">
        <v>260</v>
      </c>
      <c r="K70" s="173" t="str">
        <f>'2 Licence'!C18</f>
        <v>Sciences des matériaux</v>
      </c>
      <c r="L70" s="92" t="s">
        <v>110</v>
      </c>
      <c r="M70" s="100"/>
      <c r="N70" s="100" t="s">
        <v>287</v>
      </c>
      <c r="O70" s="92"/>
      <c r="P70" s="87" t="s">
        <v>263</v>
      </c>
      <c r="Q70" s="91"/>
      <c r="R70" s="173"/>
      <c r="S70" s="92"/>
      <c r="T70" s="100"/>
      <c r="U70" s="100" t="s">
        <v>284</v>
      </c>
      <c r="V70" s="92"/>
      <c r="W70" s="92"/>
      <c r="X70" s="141"/>
      <c r="Y70" s="128"/>
      <c r="Z70" s="87"/>
      <c r="AA70" s="87" t="s">
        <v>250</v>
      </c>
      <c r="AB70" s="87"/>
      <c r="AC70" s="87"/>
      <c r="AD70" s="142"/>
    </row>
    <row r="71" spans="1:30" ht="15" customHeight="1">
      <c r="A71" s="265"/>
      <c r="B71" s="268"/>
      <c r="C71" s="93"/>
      <c r="D71" s="128">
        <f>D70</f>
        <v>0</v>
      </c>
      <c r="E71" s="92">
        <f>E70</f>
        <v>0</v>
      </c>
      <c r="F71" s="100"/>
      <c r="G71" s="100"/>
      <c r="H71" s="92"/>
      <c r="I71" s="92"/>
      <c r="J71" s="93" t="s">
        <v>34</v>
      </c>
      <c r="K71" s="173" t="str">
        <f>K70</f>
        <v>Sciences des matériaux</v>
      </c>
      <c r="L71" s="92" t="str">
        <f>L70</f>
        <v>F.Z.Lemmadi</v>
      </c>
      <c r="M71" s="100"/>
      <c r="N71" s="100" t="s">
        <v>289</v>
      </c>
      <c r="O71" s="92"/>
      <c r="P71" s="87" t="s">
        <v>263</v>
      </c>
      <c r="Q71" s="93"/>
      <c r="R71" s="173">
        <f>R70</f>
        <v>0</v>
      </c>
      <c r="S71" s="92">
        <f>S70</f>
        <v>0</v>
      </c>
      <c r="T71" s="100"/>
      <c r="U71" s="100"/>
      <c r="V71" s="92"/>
      <c r="W71" s="92"/>
      <c r="X71" s="143"/>
      <c r="Y71" s="128">
        <f>Y70</f>
        <v>0</v>
      </c>
      <c r="Z71" s="87">
        <f>Z70</f>
        <v>0</v>
      </c>
      <c r="AA71" s="87" t="s">
        <v>251</v>
      </c>
      <c r="AB71" s="87"/>
      <c r="AC71" s="87"/>
      <c r="AD71" s="142"/>
    </row>
    <row r="72" spans="1:30" ht="15" customHeight="1">
      <c r="A72" s="265"/>
      <c r="B72" s="268"/>
      <c r="C72" s="93"/>
      <c r="D72" s="128">
        <f t="shared" ref="D72:D74" si="127">D71</f>
        <v>0</v>
      </c>
      <c r="E72" s="92">
        <f t="shared" ref="E72:E74" si="128">E71</f>
        <v>0</v>
      </c>
      <c r="F72" s="100"/>
      <c r="G72" s="100"/>
      <c r="H72" s="92"/>
      <c r="I72" s="92"/>
      <c r="J72" s="93" t="s">
        <v>272</v>
      </c>
      <c r="K72" s="173" t="str">
        <f t="shared" ref="K72:K74" si="129">K71</f>
        <v>Sciences des matériaux</v>
      </c>
      <c r="L72" s="92" t="str">
        <f t="shared" ref="L72:L74" si="130">L71</f>
        <v>F.Z.Lemmadi</v>
      </c>
      <c r="M72" s="100"/>
      <c r="N72" s="100" t="s">
        <v>290</v>
      </c>
      <c r="O72" s="92"/>
      <c r="P72" s="87" t="s">
        <v>263</v>
      </c>
      <c r="Q72" s="93"/>
      <c r="R72" s="173">
        <f t="shared" ref="R72:R74" si="131">R71</f>
        <v>0</v>
      </c>
      <c r="S72" s="92">
        <f t="shared" ref="S72:S74" si="132">S71</f>
        <v>0</v>
      </c>
      <c r="T72" s="103" t="s">
        <v>250</v>
      </c>
      <c r="U72" s="103" t="s">
        <v>285</v>
      </c>
      <c r="V72" s="92"/>
      <c r="W72" s="92"/>
      <c r="X72" s="143"/>
      <c r="Y72" s="128">
        <f t="shared" ref="Y72:Y74" si="133">Y71</f>
        <v>0</v>
      </c>
      <c r="Z72" s="87">
        <f t="shared" ref="Z72:Z74" si="134">Z71</f>
        <v>0</v>
      </c>
      <c r="AA72" s="87" t="s">
        <v>252</v>
      </c>
      <c r="AB72" s="87"/>
      <c r="AC72" s="87"/>
      <c r="AD72" s="142"/>
    </row>
    <row r="73" spans="1:30" ht="15" customHeight="1">
      <c r="A73" s="265"/>
      <c r="B73" s="268"/>
      <c r="C73" s="93"/>
      <c r="D73" s="128">
        <f t="shared" si="127"/>
        <v>0</v>
      </c>
      <c r="E73" s="92">
        <f t="shared" si="128"/>
        <v>0</v>
      </c>
      <c r="F73" s="100"/>
      <c r="G73" s="100"/>
      <c r="H73" s="92"/>
      <c r="I73" s="92"/>
      <c r="J73" s="93" t="s">
        <v>42</v>
      </c>
      <c r="K73" s="173" t="str">
        <f t="shared" si="129"/>
        <v>Sciences des matériaux</v>
      </c>
      <c r="L73" s="92" t="str">
        <f t="shared" si="130"/>
        <v>F.Z.Lemmadi</v>
      </c>
      <c r="M73" s="100"/>
      <c r="N73" s="100" t="s">
        <v>291</v>
      </c>
      <c r="O73" s="92"/>
      <c r="P73" s="87" t="s">
        <v>263</v>
      </c>
      <c r="Q73" s="93"/>
      <c r="R73" s="173">
        <f t="shared" si="131"/>
        <v>0</v>
      </c>
      <c r="S73" s="92">
        <f t="shared" si="132"/>
        <v>0</v>
      </c>
      <c r="T73" s="103"/>
      <c r="U73" s="103" t="s">
        <v>285</v>
      </c>
      <c r="V73" s="92"/>
      <c r="W73" s="92"/>
      <c r="X73" s="143"/>
      <c r="Y73" s="128">
        <f t="shared" si="133"/>
        <v>0</v>
      </c>
      <c r="Z73" s="87">
        <f t="shared" si="134"/>
        <v>0</v>
      </c>
      <c r="AA73" s="87"/>
      <c r="AB73" s="87"/>
      <c r="AC73" s="87"/>
      <c r="AD73" s="142"/>
    </row>
    <row r="74" spans="1:30" ht="15" customHeight="1">
      <c r="A74" s="265"/>
      <c r="B74" s="268"/>
      <c r="C74" s="94"/>
      <c r="D74" s="128">
        <f t="shared" si="127"/>
        <v>0</v>
      </c>
      <c r="E74" s="92">
        <f t="shared" si="128"/>
        <v>0</v>
      </c>
      <c r="F74" s="103"/>
      <c r="G74" s="103"/>
      <c r="H74" s="92"/>
      <c r="I74" s="92"/>
      <c r="J74" s="94" t="s">
        <v>110</v>
      </c>
      <c r="K74" s="173" t="str">
        <f t="shared" si="129"/>
        <v>Sciences des matériaux</v>
      </c>
      <c r="L74" s="92" t="str">
        <f t="shared" si="130"/>
        <v>F.Z.Lemmadi</v>
      </c>
      <c r="M74" s="103"/>
      <c r="N74" s="103"/>
      <c r="O74" s="92"/>
      <c r="P74" s="87" t="s">
        <v>263</v>
      </c>
      <c r="Q74" s="94"/>
      <c r="R74" s="173">
        <f t="shared" si="131"/>
        <v>0</v>
      </c>
      <c r="S74" s="92">
        <f t="shared" si="132"/>
        <v>0</v>
      </c>
      <c r="T74" s="103"/>
      <c r="U74" s="103" t="s">
        <v>285</v>
      </c>
      <c r="V74" s="92"/>
      <c r="W74" s="92"/>
      <c r="X74" s="144"/>
      <c r="Y74" s="128">
        <f t="shared" si="133"/>
        <v>0</v>
      </c>
      <c r="Z74" s="87">
        <f t="shared" si="134"/>
        <v>0</v>
      </c>
      <c r="AA74" s="87"/>
      <c r="AB74" s="87"/>
      <c r="AC74" s="87"/>
      <c r="AD74" s="142"/>
    </row>
    <row r="75" spans="1:30" ht="15.75">
      <c r="A75" s="265"/>
      <c r="B75" s="79" t="s">
        <v>241</v>
      </c>
      <c r="C75" s="95" t="s">
        <v>272</v>
      </c>
      <c r="D75" s="129" t="str">
        <f>'3 Licence'!C19</f>
        <v>Notions de mesures et instrumentations</v>
      </c>
      <c r="E75" s="96" t="s">
        <v>272</v>
      </c>
      <c r="F75" s="103"/>
      <c r="G75" s="103" t="s">
        <v>287</v>
      </c>
      <c r="H75" s="96"/>
      <c r="I75" s="96" t="str">
        <f>$B$42</f>
        <v>L3 Métallurgie</v>
      </c>
      <c r="J75" s="95"/>
      <c r="K75" s="174"/>
      <c r="L75" s="96"/>
      <c r="M75" s="103"/>
      <c r="N75" s="103" t="s">
        <v>287</v>
      </c>
      <c r="O75" s="96"/>
      <c r="P75" s="96"/>
      <c r="Q75" s="95"/>
      <c r="R75" s="174"/>
      <c r="S75" s="96"/>
      <c r="T75" s="103"/>
      <c r="U75" s="103"/>
      <c r="V75" s="96"/>
      <c r="W75" s="96" t="str">
        <f>$B$42</f>
        <v>L3 Métallurgie</v>
      </c>
      <c r="X75" s="145"/>
      <c r="Y75" s="129"/>
      <c r="Z75" s="97"/>
      <c r="AA75" s="97"/>
      <c r="AB75" s="97"/>
      <c r="AC75" s="97"/>
      <c r="AD75" s="146"/>
    </row>
    <row r="76" spans="1:30" ht="15" customHeight="1">
      <c r="A76" s="265"/>
      <c r="B76" s="269" t="s">
        <v>242</v>
      </c>
      <c r="C76" s="98" t="s">
        <v>88</v>
      </c>
      <c r="D76" s="130" t="str">
        <f>'3 Licence'!C20</f>
        <v>Transfert thermique</v>
      </c>
      <c r="E76" s="99" t="s">
        <v>130</v>
      </c>
      <c r="F76" s="103" t="s">
        <v>250</v>
      </c>
      <c r="G76" s="103" t="s">
        <v>284</v>
      </c>
      <c r="H76" s="99"/>
      <c r="I76" s="99" t="str">
        <f>$B$43</f>
        <v>L3 Construction</v>
      </c>
      <c r="J76" s="98"/>
      <c r="K76" s="175"/>
      <c r="L76" s="99"/>
      <c r="M76" s="103" t="s">
        <v>250</v>
      </c>
      <c r="N76" s="103" t="s">
        <v>284</v>
      </c>
      <c r="O76" s="99"/>
      <c r="P76" s="99"/>
      <c r="Q76" s="98"/>
      <c r="R76" s="175"/>
      <c r="S76" s="99"/>
      <c r="T76" s="106"/>
      <c r="U76" s="106" t="s">
        <v>288</v>
      </c>
      <c r="V76" s="99"/>
      <c r="W76" s="99" t="str">
        <f>$B$43</f>
        <v>L3 Construction</v>
      </c>
      <c r="X76" s="147"/>
      <c r="Y76" s="130"/>
      <c r="Z76" s="100"/>
      <c r="AA76" s="100" t="s">
        <v>250</v>
      </c>
      <c r="AB76" s="100"/>
      <c r="AC76" s="100"/>
      <c r="AD76" s="148"/>
    </row>
    <row r="77" spans="1:30" ht="15" customHeight="1">
      <c r="A77" s="265"/>
      <c r="B77" s="269"/>
      <c r="C77" s="98" t="s">
        <v>33</v>
      </c>
      <c r="D77" s="130" t="str">
        <f>D76</f>
        <v>Transfert thermique</v>
      </c>
      <c r="E77" s="99" t="str">
        <f>E76</f>
        <v>M.S.Chebah</v>
      </c>
      <c r="F77" s="103" t="s">
        <v>250</v>
      </c>
      <c r="G77" s="103" t="s">
        <v>284</v>
      </c>
      <c r="H77" s="99"/>
      <c r="I77" s="99" t="str">
        <f t="shared" ref="I77:I79" si="135">$B$43</f>
        <v>L3 Construction</v>
      </c>
      <c r="J77" s="98"/>
      <c r="K77" s="175">
        <f>K76</f>
        <v>0</v>
      </c>
      <c r="L77" s="99">
        <f>L76</f>
        <v>0</v>
      </c>
      <c r="M77" s="103" t="s">
        <v>250</v>
      </c>
      <c r="N77" s="103" t="s">
        <v>284</v>
      </c>
      <c r="O77" s="99"/>
      <c r="P77" s="99"/>
      <c r="Q77" s="98"/>
      <c r="R77" s="175">
        <f>R76</f>
        <v>0</v>
      </c>
      <c r="S77" s="99">
        <f>S76</f>
        <v>0</v>
      </c>
      <c r="T77" s="109" t="s">
        <v>250</v>
      </c>
      <c r="U77" s="109" t="s">
        <v>286</v>
      </c>
      <c r="V77" s="99"/>
      <c r="W77" s="99" t="str">
        <f t="shared" ref="W77:W79" si="136">$B$43</f>
        <v>L3 Construction</v>
      </c>
      <c r="X77" s="147"/>
      <c r="Y77" s="130">
        <f>Y76</f>
        <v>0</v>
      </c>
      <c r="Z77" s="100">
        <f>Z76</f>
        <v>0</v>
      </c>
      <c r="AA77" s="100" t="s">
        <v>251</v>
      </c>
      <c r="AB77" s="100"/>
      <c r="AC77" s="100"/>
      <c r="AD77" s="148"/>
    </row>
    <row r="78" spans="1:30" ht="15" customHeight="1">
      <c r="A78" s="265"/>
      <c r="B78" s="269"/>
      <c r="C78" s="98" t="s">
        <v>37</v>
      </c>
      <c r="D78" s="130" t="str">
        <f t="shared" ref="D78:D79" si="137">D77</f>
        <v>Transfert thermique</v>
      </c>
      <c r="E78" s="99" t="str">
        <f t="shared" ref="E78:E79" si="138">E77</f>
        <v>M.S.Chebah</v>
      </c>
      <c r="F78" s="106"/>
      <c r="G78" s="106"/>
      <c r="H78" s="99"/>
      <c r="I78" s="99" t="str">
        <f t="shared" si="135"/>
        <v>L3 Construction</v>
      </c>
      <c r="J78" s="98"/>
      <c r="K78" s="175">
        <f t="shared" ref="K78:K79" si="139">K77</f>
        <v>0</v>
      </c>
      <c r="L78" s="99">
        <f t="shared" ref="L78:L79" si="140">L77</f>
        <v>0</v>
      </c>
      <c r="M78" s="106"/>
      <c r="N78" s="106"/>
      <c r="O78" s="99"/>
      <c r="P78" s="99"/>
      <c r="Q78" s="98"/>
      <c r="R78" s="175">
        <f t="shared" ref="R78:R79" si="141">R77</f>
        <v>0</v>
      </c>
      <c r="S78" s="99">
        <f t="shared" ref="S78:S79" si="142">S77</f>
        <v>0</v>
      </c>
      <c r="T78" s="109" t="s">
        <v>251</v>
      </c>
      <c r="U78" s="109" t="s">
        <v>286</v>
      </c>
      <c r="V78" s="99"/>
      <c r="W78" s="99" t="str">
        <f t="shared" si="136"/>
        <v>L3 Construction</v>
      </c>
      <c r="X78" s="147"/>
      <c r="Y78" s="130">
        <f t="shared" ref="Y78:Y79" si="143">Y77</f>
        <v>0</v>
      </c>
      <c r="Z78" s="100">
        <f t="shared" ref="Z78:Z79" si="144">Z77</f>
        <v>0</v>
      </c>
      <c r="AA78" s="100"/>
      <c r="AB78" s="100"/>
      <c r="AC78" s="100"/>
      <c r="AD78" s="148"/>
    </row>
    <row r="79" spans="1:30" ht="15" customHeight="1">
      <c r="A79" s="265"/>
      <c r="B79" s="269"/>
      <c r="C79" s="98" t="s">
        <v>130</v>
      </c>
      <c r="D79" s="130" t="str">
        <f t="shared" si="137"/>
        <v>Transfert thermique</v>
      </c>
      <c r="E79" s="99" t="str">
        <f t="shared" si="138"/>
        <v>M.S.Chebah</v>
      </c>
      <c r="F79" s="109"/>
      <c r="G79" s="109"/>
      <c r="H79" s="99"/>
      <c r="I79" s="99" t="str">
        <f t="shared" si="135"/>
        <v>L3 Construction</v>
      </c>
      <c r="J79" s="98"/>
      <c r="K79" s="175">
        <f t="shared" si="139"/>
        <v>0</v>
      </c>
      <c r="L79" s="99">
        <f t="shared" si="140"/>
        <v>0</v>
      </c>
      <c r="M79" s="109"/>
      <c r="N79" s="109"/>
      <c r="O79" s="99"/>
      <c r="P79" s="99"/>
      <c r="Q79" s="98"/>
      <c r="R79" s="175">
        <f t="shared" si="141"/>
        <v>0</v>
      </c>
      <c r="S79" s="99">
        <f t="shared" si="142"/>
        <v>0</v>
      </c>
      <c r="T79" s="109"/>
      <c r="U79" s="109" t="s">
        <v>286</v>
      </c>
      <c r="V79" s="99"/>
      <c r="W79" s="99" t="str">
        <f t="shared" si="136"/>
        <v>L3 Construction</v>
      </c>
      <c r="X79" s="147"/>
      <c r="Y79" s="130">
        <f t="shared" si="143"/>
        <v>0</v>
      </c>
      <c r="Z79" s="100">
        <f t="shared" si="144"/>
        <v>0</v>
      </c>
      <c r="AA79" s="100"/>
      <c r="AB79" s="100"/>
      <c r="AC79" s="100"/>
      <c r="AD79" s="148"/>
    </row>
    <row r="80" spans="1:30" ht="15" customHeight="1">
      <c r="A80" s="265"/>
      <c r="B80" s="270" t="s">
        <v>243</v>
      </c>
      <c r="C80" s="101" t="s">
        <v>34</v>
      </c>
      <c r="D80" s="131" t="str">
        <f>'3 Licence'!C22</f>
        <v>Energie renouvelables</v>
      </c>
      <c r="E80" s="102" t="s">
        <v>61</v>
      </c>
      <c r="F80" s="109" t="s">
        <v>250</v>
      </c>
      <c r="G80" s="109" t="s">
        <v>285</v>
      </c>
      <c r="H80" s="102"/>
      <c r="I80" s="102" t="str">
        <f>$B$47</f>
        <v>L3 Energétique</v>
      </c>
      <c r="J80" s="101"/>
      <c r="K80" s="176"/>
      <c r="L80" s="102"/>
      <c r="M80" s="109" t="s">
        <v>250</v>
      </c>
      <c r="N80" s="109" t="s">
        <v>285</v>
      </c>
      <c r="O80" s="102"/>
      <c r="P80" s="102"/>
      <c r="Q80" s="101"/>
      <c r="R80" s="176"/>
      <c r="S80" s="102"/>
      <c r="T80" s="109"/>
      <c r="U80" s="109"/>
      <c r="V80" s="102"/>
      <c r="W80" s="102" t="str">
        <f>$B$47</f>
        <v>L3 Energétique</v>
      </c>
      <c r="X80" s="149"/>
      <c r="Y80" s="131"/>
      <c r="Z80" s="103"/>
      <c r="AA80" s="103" t="s">
        <v>250</v>
      </c>
      <c r="AB80" s="103"/>
      <c r="AC80" s="103"/>
      <c r="AD80" s="150"/>
    </row>
    <row r="81" spans="1:30" ht="15" customHeight="1">
      <c r="A81" s="265"/>
      <c r="B81" s="270"/>
      <c r="C81" s="101"/>
      <c r="D81" s="131" t="str">
        <f>D80</f>
        <v>Energie renouvelables</v>
      </c>
      <c r="E81" s="102" t="str">
        <f>E80</f>
        <v>N.Moummi</v>
      </c>
      <c r="F81" s="109"/>
      <c r="G81" s="109"/>
      <c r="H81" s="102"/>
      <c r="I81" s="102" t="str">
        <f t="shared" ref="I81:I83" si="145">$B$47</f>
        <v>L3 Energétique</v>
      </c>
      <c r="J81" s="101"/>
      <c r="K81" s="176">
        <f>K80</f>
        <v>0</v>
      </c>
      <c r="L81" s="102">
        <f>L80</f>
        <v>0</v>
      </c>
      <c r="M81" s="109"/>
      <c r="N81" s="109"/>
      <c r="O81" s="102"/>
      <c r="P81" s="102"/>
      <c r="Q81" s="101"/>
      <c r="R81" s="176">
        <f>R80</f>
        <v>0</v>
      </c>
      <c r="S81" s="102">
        <f>S80</f>
        <v>0</v>
      </c>
      <c r="T81" s="112" t="s">
        <v>250</v>
      </c>
      <c r="U81" s="112" t="s">
        <v>289</v>
      </c>
      <c r="V81" s="102"/>
      <c r="W81" s="102" t="str">
        <f t="shared" ref="W81:W83" si="146">$B$47</f>
        <v>L3 Energétique</v>
      </c>
      <c r="X81" s="149"/>
      <c r="Y81" s="131">
        <f>Y80</f>
        <v>0</v>
      </c>
      <c r="Z81" s="103">
        <f>Z80</f>
        <v>0</v>
      </c>
      <c r="AA81" s="103" t="s">
        <v>251</v>
      </c>
      <c r="AB81" s="103"/>
      <c r="AC81" s="103"/>
      <c r="AD81" s="150"/>
    </row>
    <row r="82" spans="1:30" ht="15" customHeight="1">
      <c r="A82" s="265"/>
      <c r="B82" s="270"/>
      <c r="C82" s="101"/>
      <c r="D82" s="131" t="str">
        <f t="shared" ref="D82:D83" si="147">D81</f>
        <v>Energie renouvelables</v>
      </c>
      <c r="E82" s="102" t="str">
        <f t="shared" ref="E82:E83" si="148">E81</f>
        <v>N.Moummi</v>
      </c>
      <c r="F82" s="109"/>
      <c r="G82" s="109"/>
      <c r="H82" s="102"/>
      <c r="I82" s="102" t="str">
        <f t="shared" si="145"/>
        <v>L3 Energétique</v>
      </c>
      <c r="J82" s="101"/>
      <c r="K82" s="176">
        <f t="shared" ref="K82:K83" si="149">K81</f>
        <v>0</v>
      </c>
      <c r="L82" s="102">
        <f t="shared" ref="L82:L83" si="150">L81</f>
        <v>0</v>
      </c>
      <c r="M82" s="109"/>
      <c r="N82" s="109"/>
      <c r="O82" s="102"/>
      <c r="P82" s="102"/>
      <c r="Q82" s="101"/>
      <c r="R82" s="176">
        <f t="shared" ref="R82:R83" si="151">R81</f>
        <v>0</v>
      </c>
      <c r="S82" s="102">
        <f t="shared" ref="S82:S83" si="152">S81</f>
        <v>0</v>
      </c>
      <c r="T82" s="112" t="s">
        <v>251</v>
      </c>
      <c r="U82" s="112" t="s">
        <v>290</v>
      </c>
      <c r="V82" s="102"/>
      <c r="W82" s="102" t="str">
        <f t="shared" si="146"/>
        <v>L3 Energétique</v>
      </c>
      <c r="X82" s="149"/>
      <c r="Y82" s="131">
        <f t="shared" ref="Y82:Y83" si="153">Y81</f>
        <v>0</v>
      </c>
      <c r="Z82" s="103">
        <f t="shared" ref="Z82:Z83" si="154">Z81</f>
        <v>0</v>
      </c>
      <c r="AA82" s="103"/>
      <c r="AB82" s="103"/>
      <c r="AC82" s="103"/>
      <c r="AD82" s="150"/>
    </row>
    <row r="83" spans="1:30" ht="15" customHeight="1">
      <c r="A83" s="265"/>
      <c r="B83" s="270"/>
      <c r="C83" s="101" t="s">
        <v>61</v>
      </c>
      <c r="D83" s="131" t="str">
        <f t="shared" si="147"/>
        <v>Energie renouvelables</v>
      </c>
      <c r="E83" s="102" t="str">
        <f t="shared" si="148"/>
        <v>N.Moummi</v>
      </c>
      <c r="F83" s="112"/>
      <c r="G83" s="112"/>
      <c r="H83" s="102"/>
      <c r="I83" s="102" t="str">
        <f t="shared" si="145"/>
        <v>L3 Energétique</v>
      </c>
      <c r="J83" s="101"/>
      <c r="K83" s="176">
        <f t="shared" si="149"/>
        <v>0</v>
      </c>
      <c r="L83" s="102">
        <f t="shared" si="150"/>
        <v>0</v>
      </c>
      <c r="M83" s="112"/>
      <c r="N83" s="112"/>
      <c r="O83" s="102"/>
      <c r="P83" s="102"/>
      <c r="Q83" s="101"/>
      <c r="R83" s="176">
        <f t="shared" si="151"/>
        <v>0</v>
      </c>
      <c r="S83" s="102">
        <f t="shared" si="152"/>
        <v>0</v>
      </c>
      <c r="T83" s="112"/>
      <c r="U83" s="112"/>
      <c r="V83" s="102"/>
      <c r="W83" s="102" t="str">
        <f t="shared" si="146"/>
        <v>L3 Energétique</v>
      </c>
      <c r="X83" s="149"/>
      <c r="Y83" s="131">
        <f t="shared" si="153"/>
        <v>0</v>
      </c>
      <c r="Z83" s="103">
        <f t="shared" si="154"/>
        <v>0</v>
      </c>
      <c r="AA83" s="103"/>
      <c r="AB83" s="103"/>
      <c r="AC83" s="103"/>
      <c r="AD83" s="150"/>
    </row>
    <row r="84" spans="1:30" ht="15.75">
      <c r="A84" s="265"/>
      <c r="B84" s="80" t="s">
        <v>244</v>
      </c>
      <c r="C84" s="104" t="s">
        <v>31</v>
      </c>
      <c r="D84" s="132" t="str">
        <f>'Maset I'!C19</f>
        <v>Electronique générale</v>
      </c>
      <c r="E84" s="123" t="s">
        <v>31</v>
      </c>
      <c r="F84" s="112"/>
      <c r="G84" s="112" t="s">
        <v>293</v>
      </c>
      <c r="H84" s="105"/>
      <c r="I84" s="105" t="str">
        <f>$B$51</f>
        <v>M1 Métallurgie</v>
      </c>
      <c r="J84" s="104"/>
      <c r="K84" s="177"/>
      <c r="L84" s="123"/>
      <c r="M84" s="112"/>
      <c r="N84" s="112" t="s">
        <v>293</v>
      </c>
      <c r="O84" s="105"/>
      <c r="P84" s="105"/>
      <c r="Q84" s="104"/>
      <c r="R84" s="177"/>
      <c r="S84" s="123"/>
      <c r="T84" s="112"/>
      <c r="U84" s="112"/>
      <c r="V84" s="105"/>
      <c r="W84" s="105" t="str">
        <f>$B$51</f>
        <v>M1 Métallurgie</v>
      </c>
      <c r="X84" s="151"/>
      <c r="Y84" s="132"/>
      <c r="Z84" s="152"/>
      <c r="AA84" s="106"/>
      <c r="AB84" s="106"/>
      <c r="AC84" s="106"/>
      <c r="AD84" s="153"/>
    </row>
    <row r="85" spans="1:30" ht="15" customHeight="1">
      <c r="A85" s="265"/>
      <c r="B85" s="271" t="s">
        <v>245</v>
      </c>
      <c r="C85" s="107" t="s">
        <v>44</v>
      </c>
      <c r="D85" s="133" t="str">
        <f>'Maset I'!C20</f>
        <v>Optimisation</v>
      </c>
      <c r="E85" s="126" t="s">
        <v>102</v>
      </c>
      <c r="F85" s="112"/>
      <c r="G85" s="112" t="s">
        <v>286</v>
      </c>
      <c r="H85" s="108"/>
      <c r="I85" s="108" t="str">
        <f>$B$52</f>
        <v>M1 Construction</v>
      </c>
      <c r="J85" s="107"/>
      <c r="K85" s="178"/>
      <c r="L85" s="126"/>
      <c r="M85" s="112"/>
      <c r="N85" s="112" t="s">
        <v>286</v>
      </c>
      <c r="O85" s="108"/>
      <c r="P85" s="108"/>
      <c r="Q85" s="107" t="s">
        <v>260</v>
      </c>
      <c r="R85" s="178" t="str">
        <f>'Maset I'!H20</f>
        <v>Panier au choix (Modélisation et programmation)</v>
      </c>
      <c r="S85" s="126" t="s">
        <v>54</v>
      </c>
      <c r="T85" s="115"/>
      <c r="U85" s="115"/>
      <c r="V85" s="108"/>
      <c r="W85" s="108" t="str">
        <f>$B$52</f>
        <v>M1 Construction</v>
      </c>
      <c r="X85" s="154"/>
      <c r="Y85" s="133"/>
      <c r="Z85" s="155"/>
      <c r="AA85" s="109" t="s">
        <v>250</v>
      </c>
      <c r="AB85" s="109"/>
      <c r="AC85" s="109"/>
      <c r="AD85" s="156"/>
    </row>
    <row r="86" spans="1:30" ht="15" customHeight="1">
      <c r="A86" s="265"/>
      <c r="B86" s="271"/>
      <c r="C86" s="107" t="s">
        <v>125</v>
      </c>
      <c r="D86" s="133" t="str">
        <f>D85</f>
        <v>Optimisation</v>
      </c>
      <c r="E86" s="108" t="str">
        <f>E85</f>
        <v>S.Guerbaii</v>
      </c>
      <c r="F86" s="112"/>
      <c r="G86" s="112"/>
      <c r="H86" s="108"/>
      <c r="I86" s="108" t="str">
        <f t="shared" ref="I86:I88" si="155">$B$52</f>
        <v>M1 Construction</v>
      </c>
      <c r="J86" s="107"/>
      <c r="K86" s="178">
        <f>K85</f>
        <v>0</v>
      </c>
      <c r="L86" s="108">
        <f>L85</f>
        <v>0</v>
      </c>
      <c r="M86" s="112"/>
      <c r="N86" s="112"/>
      <c r="O86" s="108"/>
      <c r="P86" s="108"/>
      <c r="Q86" s="107" t="s">
        <v>67</v>
      </c>
      <c r="R86" s="178" t="str">
        <f>R85</f>
        <v>Panier au choix (Modélisation et programmation)</v>
      </c>
      <c r="S86" s="108" t="str">
        <f>S85</f>
        <v>M.Hecini</v>
      </c>
      <c r="T86" s="117" t="s">
        <v>250</v>
      </c>
      <c r="U86" s="117"/>
      <c r="V86" s="108"/>
      <c r="W86" s="108" t="str">
        <f t="shared" ref="W86:W88" si="156">$B$52</f>
        <v>M1 Construction</v>
      </c>
      <c r="X86" s="154"/>
      <c r="Y86" s="133">
        <f>Y85</f>
        <v>0</v>
      </c>
      <c r="Z86" s="109">
        <f>Z85</f>
        <v>0</v>
      </c>
      <c r="AA86" s="109" t="s">
        <v>251</v>
      </c>
      <c r="AB86" s="109"/>
      <c r="AC86" s="109"/>
      <c r="AD86" s="156"/>
    </row>
    <row r="87" spans="1:30" ht="15" customHeight="1">
      <c r="A87" s="265"/>
      <c r="B87" s="271"/>
      <c r="C87" s="107" t="s">
        <v>100</v>
      </c>
      <c r="D87" s="133" t="str">
        <f t="shared" ref="D87:D88" si="157">D86</f>
        <v>Optimisation</v>
      </c>
      <c r="E87" s="108" t="str">
        <f t="shared" ref="E87:E88" si="158">E86</f>
        <v>S.Guerbaii</v>
      </c>
      <c r="F87" s="115"/>
      <c r="G87" s="115"/>
      <c r="H87" s="108"/>
      <c r="I87" s="108" t="str">
        <f t="shared" si="155"/>
        <v>M1 Construction</v>
      </c>
      <c r="J87" s="107"/>
      <c r="K87" s="178">
        <f t="shared" ref="K87:K88" si="159">K86</f>
        <v>0</v>
      </c>
      <c r="L87" s="108">
        <f t="shared" ref="L87:L88" si="160">L86</f>
        <v>0</v>
      </c>
      <c r="M87" s="115"/>
      <c r="N87" s="115"/>
      <c r="O87" s="108"/>
      <c r="P87" s="108"/>
      <c r="Q87" s="107" t="s">
        <v>100</v>
      </c>
      <c r="R87" s="178" t="str">
        <f t="shared" ref="R87:R88" si="161">R86</f>
        <v>Panier au choix (Modélisation et programmation)</v>
      </c>
      <c r="S87" s="108" t="str">
        <f t="shared" ref="S87:S88" si="162">S86</f>
        <v>M.Hecini</v>
      </c>
      <c r="T87" s="117" t="s">
        <v>251</v>
      </c>
      <c r="U87" s="117"/>
      <c r="V87" s="108"/>
      <c r="W87" s="108" t="str">
        <f t="shared" si="156"/>
        <v>M1 Construction</v>
      </c>
      <c r="X87" s="154"/>
      <c r="Y87" s="133">
        <f t="shared" ref="Y87:Y88" si="163">Y86</f>
        <v>0</v>
      </c>
      <c r="Z87" s="109">
        <f t="shared" ref="Z87:Z88" si="164">Z86</f>
        <v>0</v>
      </c>
      <c r="AA87" s="109"/>
      <c r="AB87" s="109"/>
      <c r="AC87" s="109"/>
      <c r="AD87" s="156"/>
    </row>
    <row r="88" spans="1:30" ht="15" customHeight="1">
      <c r="A88" s="265"/>
      <c r="B88" s="271"/>
      <c r="C88" s="107" t="s">
        <v>102</v>
      </c>
      <c r="D88" s="133" t="str">
        <f t="shared" si="157"/>
        <v>Optimisation</v>
      </c>
      <c r="E88" s="108" t="str">
        <f t="shared" si="158"/>
        <v>S.Guerbaii</v>
      </c>
      <c r="F88" s="117"/>
      <c r="G88" s="117"/>
      <c r="H88" s="108"/>
      <c r="I88" s="108" t="str">
        <f t="shared" si="155"/>
        <v>M1 Construction</v>
      </c>
      <c r="J88" s="107"/>
      <c r="K88" s="178">
        <f t="shared" si="159"/>
        <v>0</v>
      </c>
      <c r="L88" s="108">
        <f t="shared" si="160"/>
        <v>0</v>
      </c>
      <c r="M88" s="117"/>
      <c r="N88" s="117"/>
      <c r="O88" s="108"/>
      <c r="P88" s="108"/>
      <c r="Q88" s="107" t="s">
        <v>54</v>
      </c>
      <c r="R88" s="178" t="str">
        <f t="shared" si="161"/>
        <v>Panier au choix (Modélisation et programmation)</v>
      </c>
      <c r="S88" s="108" t="str">
        <f t="shared" si="162"/>
        <v>M.Hecini</v>
      </c>
      <c r="T88" s="116"/>
      <c r="U88" s="117"/>
      <c r="V88" s="108"/>
      <c r="W88" s="108" t="str">
        <f t="shared" si="156"/>
        <v>M1 Construction</v>
      </c>
      <c r="X88" s="154"/>
      <c r="Y88" s="133">
        <f t="shared" si="163"/>
        <v>0</v>
      </c>
      <c r="Z88" s="109">
        <f t="shared" si="164"/>
        <v>0</v>
      </c>
      <c r="AA88" s="109"/>
      <c r="AB88" s="109"/>
      <c r="AC88" s="109"/>
      <c r="AD88" s="156"/>
    </row>
    <row r="89" spans="1:30" ht="15" customHeight="1">
      <c r="A89" s="265"/>
      <c r="B89" s="272" t="s">
        <v>246</v>
      </c>
      <c r="C89" s="110" t="s">
        <v>119</v>
      </c>
      <c r="D89" s="134" t="str">
        <f>'Maset I'!C22</f>
        <v>Combustion</v>
      </c>
      <c r="E89" s="124" t="s">
        <v>98</v>
      </c>
      <c r="F89" s="117" t="s">
        <v>250</v>
      </c>
      <c r="G89" s="117" t="s">
        <v>289</v>
      </c>
      <c r="H89" s="111"/>
      <c r="I89" s="111" t="str">
        <f>$B$56</f>
        <v>M1 Energétique</v>
      </c>
      <c r="J89" s="110"/>
      <c r="K89" s="179"/>
      <c r="L89" s="124"/>
      <c r="M89" s="117" t="s">
        <v>250</v>
      </c>
      <c r="N89" s="117" t="s">
        <v>289</v>
      </c>
      <c r="O89" s="111"/>
      <c r="P89" s="111"/>
      <c r="Q89" s="110"/>
      <c r="R89" s="179"/>
      <c r="S89" s="124"/>
      <c r="T89" s="116"/>
      <c r="U89" s="117"/>
      <c r="V89" s="111"/>
      <c r="W89" s="111" t="str">
        <f>$B$56</f>
        <v>M1 Energétique</v>
      </c>
      <c r="X89" s="157"/>
      <c r="Y89" s="134"/>
      <c r="Z89" s="158"/>
      <c r="AA89" s="112" t="s">
        <v>250</v>
      </c>
      <c r="AB89" s="112"/>
      <c r="AC89" s="112"/>
      <c r="AD89" s="159"/>
    </row>
    <row r="90" spans="1:30" ht="15" customHeight="1">
      <c r="A90" s="265"/>
      <c r="B90" s="272"/>
      <c r="C90" s="110" t="s">
        <v>273</v>
      </c>
      <c r="D90" s="134" t="str">
        <f>D89</f>
        <v>Combustion</v>
      </c>
      <c r="E90" s="111" t="str">
        <f>E89</f>
        <v>A.Moummi</v>
      </c>
      <c r="F90" s="116" t="s">
        <v>292</v>
      </c>
      <c r="G90" s="117" t="s">
        <v>290</v>
      </c>
      <c r="H90" s="111"/>
      <c r="I90" s="111" t="str">
        <f t="shared" ref="I90:I92" si="165">$B$56</f>
        <v>M1 Energétique</v>
      </c>
      <c r="J90" s="110"/>
      <c r="K90" s="179">
        <f>K89</f>
        <v>0</v>
      </c>
      <c r="L90" s="111">
        <f>L89</f>
        <v>0</v>
      </c>
      <c r="M90" s="116" t="s">
        <v>292</v>
      </c>
      <c r="N90" s="117" t="s">
        <v>290</v>
      </c>
      <c r="O90" s="111"/>
      <c r="P90" s="111"/>
      <c r="Q90" s="110"/>
      <c r="R90" s="179"/>
      <c r="S90" s="111"/>
      <c r="T90" s="119" t="s">
        <v>250</v>
      </c>
      <c r="U90" s="166"/>
      <c r="V90" s="111"/>
      <c r="W90" s="111" t="str">
        <f t="shared" ref="W90:W92" si="166">$B$56</f>
        <v>M1 Energétique</v>
      </c>
      <c r="X90" s="157"/>
      <c r="Y90" s="134">
        <f>Y89</f>
        <v>0</v>
      </c>
      <c r="Z90" s="112">
        <f>Z89</f>
        <v>0</v>
      </c>
      <c r="AA90" s="112" t="s">
        <v>251</v>
      </c>
      <c r="AB90" s="112"/>
      <c r="AC90" s="112"/>
      <c r="AD90" s="159"/>
    </row>
    <row r="91" spans="1:30" ht="15" customHeight="1">
      <c r="A91" s="265"/>
      <c r="B91" s="272"/>
      <c r="C91" s="110" t="s">
        <v>63</v>
      </c>
      <c r="D91" s="134" t="str">
        <f t="shared" ref="D91:D92" si="167">D90</f>
        <v>Combustion</v>
      </c>
      <c r="E91" s="111" t="str">
        <f t="shared" ref="E91:E92" si="168">E90</f>
        <v>A.Moummi</v>
      </c>
      <c r="F91" s="116"/>
      <c r="G91" s="117"/>
      <c r="H91" s="111"/>
      <c r="I91" s="111" t="str">
        <f t="shared" si="165"/>
        <v>M1 Energétique</v>
      </c>
      <c r="J91" s="110"/>
      <c r="K91" s="179">
        <f t="shared" ref="K91:K92" si="169">K90</f>
        <v>0</v>
      </c>
      <c r="L91" s="111">
        <f t="shared" ref="L91:L92" si="170">L90</f>
        <v>0</v>
      </c>
      <c r="M91" s="116"/>
      <c r="N91" s="117"/>
      <c r="O91" s="111"/>
      <c r="P91" s="111"/>
      <c r="Q91" s="110"/>
      <c r="R91" s="179"/>
      <c r="S91" s="111"/>
      <c r="T91" s="119" t="s">
        <v>251</v>
      </c>
      <c r="U91" s="166"/>
      <c r="V91" s="111"/>
      <c r="W91" s="111" t="str">
        <f t="shared" si="166"/>
        <v>M1 Energétique</v>
      </c>
      <c r="X91" s="157"/>
      <c r="Y91" s="134">
        <f t="shared" ref="Y91:Y92" si="171">Y90</f>
        <v>0</v>
      </c>
      <c r="Z91" s="112">
        <f t="shared" ref="Z91:Z92" si="172">Z90</f>
        <v>0</v>
      </c>
      <c r="AA91" s="112"/>
      <c r="AB91" s="112"/>
      <c r="AC91" s="112"/>
      <c r="AD91" s="159"/>
    </row>
    <row r="92" spans="1:30" ht="15" customHeight="1">
      <c r="A92" s="265"/>
      <c r="B92" s="272"/>
      <c r="C92" s="110" t="s">
        <v>47</v>
      </c>
      <c r="D92" s="134" t="str">
        <f t="shared" si="167"/>
        <v>Combustion</v>
      </c>
      <c r="E92" s="111" t="str">
        <f t="shared" si="168"/>
        <v>A.Moummi</v>
      </c>
      <c r="F92" s="119"/>
      <c r="G92" s="166"/>
      <c r="H92" s="111"/>
      <c r="I92" s="111" t="str">
        <f t="shared" si="165"/>
        <v>M1 Energétique</v>
      </c>
      <c r="J92" s="110"/>
      <c r="K92" s="179">
        <f t="shared" si="169"/>
        <v>0</v>
      </c>
      <c r="L92" s="111">
        <f t="shared" si="170"/>
        <v>0</v>
      </c>
      <c r="M92" s="119"/>
      <c r="N92" s="166"/>
      <c r="O92" s="111"/>
      <c r="P92" s="111"/>
      <c r="Q92" s="110"/>
      <c r="R92" s="179"/>
      <c r="S92" s="111"/>
      <c r="T92" s="119"/>
      <c r="U92" s="166"/>
      <c r="V92" s="111"/>
      <c r="W92" s="111" t="str">
        <f t="shared" si="166"/>
        <v>M1 Energétique</v>
      </c>
      <c r="X92" s="157"/>
      <c r="Y92" s="134">
        <f t="shared" si="171"/>
        <v>0</v>
      </c>
      <c r="Z92" s="112">
        <f t="shared" si="172"/>
        <v>0</v>
      </c>
      <c r="AA92" s="112"/>
      <c r="AB92" s="112"/>
      <c r="AC92" s="112"/>
      <c r="AD92" s="159"/>
    </row>
    <row r="93" spans="1:30" ht="16.5" thickBot="1">
      <c r="A93" s="265"/>
      <c r="B93" s="81" t="s">
        <v>247</v>
      </c>
      <c r="C93" s="113"/>
      <c r="D93" s="135"/>
      <c r="E93" s="122"/>
      <c r="F93" s="119"/>
      <c r="G93" s="166"/>
      <c r="H93" s="114"/>
      <c r="I93" s="114"/>
      <c r="J93" s="113"/>
      <c r="K93" s="180"/>
      <c r="L93" s="122"/>
      <c r="M93" s="119"/>
      <c r="N93" s="166"/>
      <c r="O93" s="114"/>
      <c r="P93" s="114"/>
      <c r="Q93" s="113"/>
      <c r="R93" s="180"/>
      <c r="S93" s="122"/>
      <c r="T93" s="121"/>
      <c r="U93" s="169"/>
      <c r="V93" s="114"/>
      <c r="W93" s="114"/>
      <c r="X93" s="160"/>
      <c r="Y93" s="135"/>
      <c r="Z93" s="161"/>
      <c r="AA93" s="115"/>
      <c r="AB93" s="115"/>
      <c r="AC93" s="115"/>
      <c r="AD93" s="162"/>
    </row>
    <row r="94" spans="1:30" ht="15" customHeight="1">
      <c r="A94" s="265"/>
      <c r="B94" s="268" t="s">
        <v>248</v>
      </c>
      <c r="C94" s="93"/>
      <c r="D94" s="136"/>
      <c r="E94" s="92"/>
      <c r="F94" s="119"/>
      <c r="G94" s="166"/>
      <c r="H94" s="116"/>
      <c r="I94" s="116"/>
      <c r="J94" s="93"/>
      <c r="K94" s="181"/>
      <c r="L94" s="92"/>
      <c r="M94" s="119"/>
      <c r="N94" s="166"/>
      <c r="O94" s="116"/>
      <c r="P94" s="116"/>
      <c r="Q94" s="93"/>
      <c r="R94" s="181"/>
      <c r="S94" s="92"/>
      <c r="T94" s="117" t="s">
        <v>250</v>
      </c>
      <c r="U94" s="117"/>
      <c r="V94" s="116"/>
      <c r="W94" s="116"/>
      <c r="X94" s="143"/>
      <c r="Y94" s="136"/>
      <c r="Z94" s="87"/>
      <c r="AA94" s="117" t="s">
        <v>250</v>
      </c>
      <c r="AB94" s="117"/>
      <c r="AC94" s="117"/>
      <c r="AD94" s="163"/>
    </row>
    <row r="95" spans="1:30" ht="15" customHeight="1" thickBot="1">
      <c r="A95" s="265"/>
      <c r="B95" s="268"/>
      <c r="C95" s="93"/>
      <c r="D95" s="136">
        <f>D94</f>
        <v>0</v>
      </c>
      <c r="E95" s="116">
        <f>E94</f>
        <v>0</v>
      </c>
      <c r="F95" s="121"/>
      <c r="G95" s="169"/>
      <c r="H95" s="116"/>
      <c r="I95" s="116"/>
      <c r="J95" s="93"/>
      <c r="K95" s="181">
        <f>K94</f>
        <v>0</v>
      </c>
      <c r="L95" s="116">
        <f>L94</f>
        <v>0</v>
      </c>
      <c r="M95" s="121"/>
      <c r="N95" s="169"/>
      <c r="O95" s="116"/>
      <c r="P95" s="116"/>
      <c r="Q95" s="93"/>
      <c r="R95" s="181">
        <f>R94</f>
        <v>0</v>
      </c>
      <c r="S95" s="116">
        <f>S94</f>
        <v>0</v>
      </c>
      <c r="T95" s="117" t="s">
        <v>251</v>
      </c>
      <c r="U95" s="117"/>
      <c r="V95" s="116"/>
      <c r="W95" s="116"/>
      <c r="X95" s="143"/>
      <c r="Y95" s="136">
        <f>Y94</f>
        <v>0</v>
      </c>
      <c r="Z95" s="117">
        <f>Z94</f>
        <v>0</v>
      </c>
      <c r="AA95" s="117" t="s">
        <v>251</v>
      </c>
      <c r="AB95" s="117"/>
      <c r="AC95" s="117"/>
      <c r="AD95" s="163"/>
    </row>
    <row r="96" spans="1:30" ht="15" customHeight="1">
      <c r="A96" s="265"/>
      <c r="B96" s="268"/>
      <c r="C96" s="93"/>
      <c r="D96" s="136">
        <f t="shared" ref="D96:D97" si="173">D95</f>
        <v>0</v>
      </c>
      <c r="E96" s="116">
        <f t="shared" ref="E96:E97" si="174">E95</f>
        <v>0</v>
      </c>
      <c r="F96" s="90"/>
      <c r="G96" s="89"/>
      <c r="H96" s="116"/>
      <c r="I96" s="116"/>
      <c r="J96" s="93"/>
      <c r="K96" s="181">
        <f t="shared" ref="K96:K97" si="175">K95</f>
        <v>0</v>
      </c>
      <c r="L96" s="116">
        <f t="shared" ref="L96:L97" si="176">L95</f>
        <v>0</v>
      </c>
      <c r="M96" s="90"/>
      <c r="N96" s="89"/>
      <c r="O96" s="116"/>
      <c r="P96" s="116"/>
      <c r="Q96" s="93"/>
      <c r="R96" s="181">
        <f t="shared" ref="R96:R97" si="177">R95</f>
        <v>0</v>
      </c>
      <c r="S96" s="116">
        <f t="shared" ref="S96:S97" si="178">S95</f>
        <v>0</v>
      </c>
      <c r="T96" s="116"/>
      <c r="U96" s="117"/>
      <c r="V96" s="116"/>
      <c r="W96" s="116"/>
      <c r="X96" s="143"/>
      <c r="Y96" s="136">
        <f t="shared" ref="Y96:Y97" si="179">Y95</f>
        <v>0</v>
      </c>
      <c r="Z96" s="117">
        <f t="shared" ref="Z96:Z97" si="180">Z95</f>
        <v>0</v>
      </c>
      <c r="AA96" s="117"/>
      <c r="AB96" s="117"/>
      <c r="AC96" s="117"/>
      <c r="AD96" s="163"/>
    </row>
    <row r="97" spans="1:30" ht="15" customHeight="1">
      <c r="A97" s="265"/>
      <c r="B97" s="268"/>
      <c r="C97" s="93"/>
      <c r="D97" s="136">
        <f t="shared" si="173"/>
        <v>0</v>
      </c>
      <c r="E97" s="116">
        <f t="shared" si="174"/>
        <v>0</v>
      </c>
      <c r="F97" s="87" t="s">
        <v>250</v>
      </c>
      <c r="G97" s="92"/>
      <c r="H97" s="116"/>
      <c r="I97" s="116"/>
      <c r="J97" s="93"/>
      <c r="K97" s="181">
        <f t="shared" si="175"/>
        <v>0</v>
      </c>
      <c r="L97" s="116">
        <f t="shared" si="176"/>
        <v>0</v>
      </c>
      <c r="M97" s="87" t="s">
        <v>250</v>
      </c>
      <c r="N97" s="92"/>
      <c r="O97" s="116"/>
      <c r="P97" s="116"/>
      <c r="Q97" s="93"/>
      <c r="R97" s="181">
        <f t="shared" si="177"/>
        <v>0</v>
      </c>
      <c r="S97" s="116">
        <f t="shared" si="178"/>
        <v>0</v>
      </c>
      <c r="T97" s="116"/>
      <c r="U97" s="117"/>
      <c r="V97" s="116"/>
      <c r="W97" s="116"/>
      <c r="X97" s="143"/>
      <c r="Y97" s="136">
        <f t="shared" si="179"/>
        <v>0</v>
      </c>
      <c r="Z97" s="117">
        <f t="shared" si="180"/>
        <v>0</v>
      </c>
      <c r="AA97" s="117"/>
      <c r="AB97" s="117"/>
      <c r="AC97" s="117"/>
      <c r="AD97" s="163"/>
    </row>
    <row r="98" spans="1:30" ht="15" customHeight="1">
      <c r="A98" s="265"/>
      <c r="B98" s="273" t="s">
        <v>249</v>
      </c>
      <c r="C98" s="118"/>
      <c r="D98" s="137"/>
      <c r="E98" s="125"/>
      <c r="F98" s="87" t="s">
        <v>251</v>
      </c>
      <c r="G98" s="92"/>
      <c r="H98" s="119"/>
      <c r="I98" s="119"/>
      <c r="J98" s="118"/>
      <c r="K98" s="182"/>
      <c r="L98" s="125"/>
      <c r="M98" s="87" t="s">
        <v>251</v>
      </c>
      <c r="N98" s="92"/>
      <c r="O98" s="119"/>
      <c r="P98" s="119"/>
      <c r="Q98" s="118"/>
      <c r="R98" s="182"/>
      <c r="S98" s="125"/>
      <c r="T98" s="119" t="s">
        <v>250</v>
      </c>
      <c r="U98" s="166"/>
      <c r="V98" s="119"/>
      <c r="W98" s="119"/>
      <c r="X98" s="164"/>
      <c r="Y98" s="137"/>
      <c r="Z98" s="165"/>
      <c r="AA98" s="166" t="s">
        <v>250</v>
      </c>
      <c r="AB98" s="166"/>
      <c r="AC98" s="166"/>
      <c r="AD98" s="167"/>
    </row>
    <row r="99" spans="1:30" ht="15" customHeight="1">
      <c r="A99" s="265"/>
      <c r="B99" s="273"/>
      <c r="C99" s="118"/>
      <c r="D99" s="137">
        <f>D98</f>
        <v>0</v>
      </c>
      <c r="E99" s="119">
        <f>E98</f>
        <v>0</v>
      </c>
      <c r="F99" s="87" t="s">
        <v>252</v>
      </c>
      <c r="G99" s="92"/>
      <c r="H99" s="119"/>
      <c r="I99" s="119"/>
      <c r="J99" s="118"/>
      <c r="K99" s="182">
        <f>K98</f>
        <v>0</v>
      </c>
      <c r="L99" s="119">
        <f>L98</f>
        <v>0</v>
      </c>
      <c r="M99" s="87" t="s">
        <v>252</v>
      </c>
      <c r="N99" s="92"/>
      <c r="O99" s="119"/>
      <c r="P99" s="119"/>
      <c r="Q99" s="118"/>
      <c r="R99" s="182">
        <f>R98</f>
        <v>0</v>
      </c>
      <c r="S99" s="119">
        <f>S98</f>
        <v>0</v>
      </c>
      <c r="T99" s="119" t="s">
        <v>251</v>
      </c>
      <c r="U99" s="166"/>
      <c r="V99" s="119"/>
      <c r="W99" s="119"/>
      <c r="X99" s="164"/>
      <c r="Y99" s="137">
        <f>Y98</f>
        <v>0</v>
      </c>
      <c r="Z99" s="166">
        <f>Z98</f>
        <v>0</v>
      </c>
      <c r="AA99" s="166" t="s">
        <v>251</v>
      </c>
      <c r="AB99" s="166"/>
      <c r="AC99" s="166"/>
      <c r="AD99" s="167"/>
    </row>
    <row r="100" spans="1:30" ht="15" customHeight="1">
      <c r="A100" s="265"/>
      <c r="B100" s="273"/>
      <c r="C100" s="118"/>
      <c r="D100" s="137">
        <f t="shared" ref="D100:D101" si="181">D99</f>
        <v>0</v>
      </c>
      <c r="E100" s="119">
        <f t="shared" ref="E100:E101" si="182">E99</f>
        <v>0</v>
      </c>
      <c r="F100" s="87"/>
      <c r="G100" s="92"/>
      <c r="H100" s="119"/>
      <c r="I100" s="119"/>
      <c r="J100" s="118"/>
      <c r="K100" s="182">
        <f t="shared" ref="K100:K101" si="183">K99</f>
        <v>0</v>
      </c>
      <c r="L100" s="119">
        <f t="shared" ref="L100:L101" si="184">L99</f>
        <v>0</v>
      </c>
      <c r="M100" s="87"/>
      <c r="N100" s="92"/>
      <c r="O100" s="119"/>
      <c r="P100" s="119"/>
      <c r="Q100" s="118"/>
      <c r="R100" s="182">
        <f t="shared" ref="R100:R101" si="185">R99</f>
        <v>0</v>
      </c>
      <c r="S100" s="119">
        <f t="shared" ref="S100:S101" si="186">S99</f>
        <v>0</v>
      </c>
      <c r="T100" s="119"/>
      <c r="U100" s="166"/>
      <c r="V100" s="119"/>
      <c r="W100" s="119"/>
      <c r="X100" s="164"/>
      <c r="Y100" s="137">
        <f t="shared" ref="Y100:Y101" si="187">Y99</f>
        <v>0</v>
      </c>
      <c r="Z100" s="166">
        <f t="shared" ref="Z100:Z101" si="188">Z99</f>
        <v>0</v>
      </c>
      <c r="AA100" s="166"/>
      <c r="AB100" s="166"/>
      <c r="AC100" s="166"/>
      <c r="AD100" s="167"/>
    </row>
    <row r="101" spans="1:30" ht="15.75" customHeight="1" thickBot="1">
      <c r="A101" s="266"/>
      <c r="B101" s="274"/>
      <c r="C101" s="120"/>
      <c r="D101" s="138">
        <f t="shared" si="181"/>
        <v>0</v>
      </c>
      <c r="E101" s="121">
        <f t="shared" si="182"/>
        <v>0</v>
      </c>
      <c r="F101" s="87"/>
      <c r="G101" s="92"/>
      <c r="H101" s="121"/>
      <c r="I101" s="121"/>
      <c r="J101" s="120"/>
      <c r="K101" s="183">
        <f t="shared" si="183"/>
        <v>0</v>
      </c>
      <c r="L101" s="121">
        <f t="shared" si="184"/>
        <v>0</v>
      </c>
      <c r="M101" s="87"/>
      <c r="N101" s="92"/>
      <c r="O101" s="121"/>
      <c r="P101" s="121"/>
      <c r="Q101" s="120"/>
      <c r="R101" s="183">
        <f t="shared" si="185"/>
        <v>0</v>
      </c>
      <c r="S101" s="121">
        <f t="shared" si="186"/>
        <v>0</v>
      </c>
      <c r="T101" s="121"/>
      <c r="U101" s="169"/>
      <c r="V101" s="121"/>
      <c r="W101" s="121"/>
      <c r="X101" s="168"/>
      <c r="Y101" s="138">
        <f t="shared" si="187"/>
        <v>0</v>
      </c>
      <c r="Z101" s="169">
        <f t="shared" si="188"/>
        <v>0</v>
      </c>
      <c r="AA101" s="169"/>
      <c r="AB101" s="169"/>
      <c r="AC101" s="169"/>
      <c r="AD101" s="170"/>
    </row>
    <row r="102" spans="1:30" ht="16.5" thickBot="1">
      <c r="A102" s="264" t="s">
        <v>265</v>
      </c>
      <c r="B102" s="86" t="s">
        <v>239</v>
      </c>
      <c r="C102" s="88"/>
      <c r="D102" s="127"/>
      <c r="E102" s="89"/>
      <c r="F102" s="97"/>
      <c r="G102" s="97" t="s">
        <v>291</v>
      </c>
      <c r="H102" s="89"/>
      <c r="I102" s="89"/>
      <c r="J102" s="88" t="s">
        <v>54</v>
      </c>
      <c r="K102" s="172" t="str">
        <f>'2 Licence'!C21</f>
        <v>Résistance des matériaux 1</v>
      </c>
      <c r="L102" s="89" t="s">
        <v>54</v>
      </c>
      <c r="M102" s="97"/>
      <c r="N102" s="97" t="s">
        <v>286</v>
      </c>
      <c r="O102" s="89"/>
      <c r="P102" s="90" t="s">
        <v>262</v>
      </c>
      <c r="Q102" s="88"/>
      <c r="R102" s="172"/>
      <c r="S102" s="89"/>
      <c r="T102" s="100" t="s">
        <v>251</v>
      </c>
      <c r="U102" s="100" t="s">
        <v>284</v>
      </c>
      <c r="V102" s="89"/>
      <c r="W102" s="89"/>
      <c r="X102" s="139"/>
      <c r="Y102" s="127"/>
      <c r="Z102" s="90"/>
      <c r="AA102" s="90"/>
      <c r="AB102" s="90"/>
      <c r="AC102" s="90"/>
      <c r="AD102" s="140"/>
    </row>
    <row r="103" spans="1:30" ht="15" customHeight="1">
      <c r="A103" s="265"/>
      <c r="B103" s="267" t="s">
        <v>240</v>
      </c>
      <c r="C103" s="91"/>
      <c r="D103" s="128"/>
      <c r="E103" s="92"/>
      <c r="F103" s="100"/>
      <c r="G103" s="100"/>
      <c r="H103" s="92"/>
      <c r="I103" s="92"/>
      <c r="J103" s="91" t="s">
        <v>87</v>
      </c>
      <c r="K103" s="173" t="str">
        <f>'2 Licence'!C22</f>
        <v>Résistance des matériaux 1</v>
      </c>
      <c r="L103" s="92" t="s">
        <v>54</v>
      </c>
      <c r="M103" s="100"/>
      <c r="N103" s="100" t="s">
        <v>287</v>
      </c>
      <c r="O103" s="92"/>
      <c r="P103" s="87" t="s">
        <v>263</v>
      </c>
      <c r="Q103" s="91"/>
      <c r="R103" s="173"/>
      <c r="S103" s="92"/>
      <c r="T103" s="100"/>
      <c r="U103" s="100" t="s">
        <v>284</v>
      </c>
      <c r="V103" s="92"/>
      <c r="W103" s="92"/>
      <c r="X103" s="141"/>
      <c r="Y103" s="128"/>
      <c r="Z103" s="87"/>
      <c r="AA103" s="87" t="s">
        <v>250</v>
      </c>
      <c r="AB103" s="87"/>
      <c r="AC103" s="87"/>
      <c r="AD103" s="142"/>
    </row>
    <row r="104" spans="1:30" ht="15" customHeight="1">
      <c r="A104" s="265"/>
      <c r="B104" s="268"/>
      <c r="C104" s="93"/>
      <c r="D104" s="128">
        <f>D103</f>
        <v>0</v>
      </c>
      <c r="E104" s="92">
        <f>E103</f>
        <v>0</v>
      </c>
      <c r="F104" s="100"/>
      <c r="G104" s="100"/>
      <c r="H104" s="92"/>
      <c r="I104" s="92"/>
      <c r="J104" s="93" t="s">
        <v>96</v>
      </c>
      <c r="K104" s="173" t="str">
        <f>K103</f>
        <v>Résistance des matériaux 1</v>
      </c>
      <c r="L104" s="92" t="str">
        <f>L103</f>
        <v>M.Hecini</v>
      </c>
      <c r="M104" s="100"/>
      <c r="N104" s="100" t="s">
        <v>289</v>
      </c>
      <c r="O104" s="92"/>
      <c r="P104" s="87" t="s">
        <v>263</v>
      </c>
      <c r="Q104" s="93"/>
      <c r="R104" s="173">
        <f>R103</f>
        <v>0</v>
      </c>
      <c r="S104" s="92">
        <f>S103</f>
        <v>0</v>
      </c>
      <c r="T104" s="100"/>
      <c r="U104" s="100"/>
      <c r="V104" s="92"/>
      <c r="W104" s="92"/>
      <c r="X104" s="143"/>
      <c r="Y104" s="128">
        <f>Y103</f>
        <v>0</v>
      </c>
      <c r="Z104" s="87">
        <f>Z103</f>
        <v>0</v>
      </c>
      <c r="AA104" s="87" t="s">
        <v>251</v>
      </c>
      <c r="AB104" s="87"/>
      <c r="AC104" s="87"/>
      <c r="AD104" s="142"/>
    </row>
    <row r="105" spans="1:30" ht="15" customHeight="1">
      <c r="A105" s="265"/>
      <c r="B105" s="268"/>
      <c r="C105" s="93"/>
      <c r="D105" s="128">
        <f t="shared" ref="D105:D107" si="189">D104</f>
        <v>0</v>
      </c>
      <c r="E105" s="92">
        <f t="shared" ref="E105:E107" si="190">E104</f>
        <v>0</v>
      </c>
      <c r="F105" s="100"/>
      <c r="G105" s="100"/>
      <c r="H105" s="92"/>
      <c r="I105" s="92"/>
      <c r="J105" s="93" t="s">
        <v>34</v>
      </c>
      <c r="K105" s="173" t="str">
        <f t="shared" ref="K105:K107" si="191">K104</f>
        <v>Résistance des matériaux 1</v>
      </c>
      <c r="L105" s="92" t="str">
        <f t="shared" ref="L105:L107" si="192">L104</f>
        <v>M.Hecini</v>
      </c>
      <c r="M105" s="100"/>
      <c r="N105" s="100" t="s">
        <v>290</v>
      </c>
      <c r="O105" s="92"/>
      <c r="P105" s="87" t="s">
        <v>263</v>
      </c>
      <c r="Q105" s="93"/>
      <c r="R105" s="173">
        <f t="shared" ref="R105:R107" si="193">R104</f>
        <v>0</v>
      </c>
      <c r="S105" s="92">
        <f t="shared" ref="S105:S107" si="194">S104</f>
        <v>0</v>
      </c>
      <c r="T105" s="103" t="s">
        <v>250</v>
      </c>
      <c r="U105" s="103" t="s">
        <v>285</v>
      </c>
      <c r="V105" s="92"/>
      <c r="W105" s="92"/>
      <c r="X105" s="143"/>
      <c r="Y105" s="128">
        <f t="shared" ref="Y105:Y107" si="195">Y104</f>
        <v>0</v>
      </c>
      <c r="Z105" s="87">
        <f t="shared" ref="Z105:Z107" si="196">Z104</f>
        <v>0</v>
      </c>
      <c r="AA105" s="87" t="s">
        <v>252</v>
      </c>
      <c r="AB105" s="87"/>
      <c r="AC105" s="87"/>
      <c r="AD105" s="142"/>
    </row>
    <row r="106" spans="1:30" ht="15" customHeight="1">
      <c r="A106" s="265"/>
      <c r="B106" s="268"/>
      <c r="C106" s="93"/>
      <c r="D106" s="128">
        <f t="shared" si="189"/>
        <v>0</v>
      </c>
      <c r="E106" s="92">
        <f t="shared" si="190"/>
        <v>0</v>
      </c>
      <c r="F106" s="100"/>
      <c r="G106" s="100"/>
      <c r="H106" s="92"/>
      <c r="I106" s="92"/>
      <c r="J106" s="93" t="s">
        <v>125</v>
      </c>
      <c r="K106" s="173" t="str">
        <f t="shared" si="191"/>
        <v>Résistance des matériaux 1</v>
      </c>
      <c r="L106" s="92" t="str">
        <f t="shared" si="192"/>
        <v>M.Hecini</v>
      </c>
      <c r="M106" s="100"/>
      <c r="N106" s="100" t="s">
        <v>291</v>
      </c>
      <c r="O106" s="92"/>
      <c r="P106" s="87" t="s">
        <v>263</v>
      </c>
      <c r="Q106" s="93"/>
      <c r="R106" s="173">
        <f t="shared" si="193"/>
        <v>0</v>
      </c>
      <c r="S106" s="92">
        <f t="shared" si="194"/>
        <v>0</v>
      </c>
      <c r="T106" s="103"/>
      <c r="U106" s="103" t="s">
        <v>285</v>
      </c>
      <c r="V106" s="92"/>
      <c r="W106" s="92"/>
      <c r="X106" s="143"/>
      <c r="Y106" s="128">
        <f t="shared" si="195"/>
        <v>0</v>
      </c>
      <c r="Z106" s="87">
        <f t="shared" si="196"/>
        <v>0</v>
      </c>
      <c r="AA106" s="87"/>
      <c r="AB106" s="87"/>
      <c r="AC106" s="87"/>
      <c r="AD106" s="142"/>
    </row>
    <row r="107" spans="1:30" ht="15" customHeight="1">
      <c r="A107" s="265"/>
      <c r="B107" s="268"/>
      <c r="C107" s="94"/>
      <c r="D107" s="128">
        <f t="shared" si="189"/>
        <v>0</v>
      </c>
      <c r="E107" s="92">
        <f t="shared" si="190"/>
        <v>0</v>
      </c>
      <c r="F107" s="103"/>
      <c r="G107" s="103"/>
      <c r="H107" s="92"/>
      <c r="I107" s="92"/>
      <c r="J107" s="94" t="s">
        <v>54</v>
      </c>
      <c r="K107" s="173" t="str">
        <f t="shared" si="191"/>
        <v>Résistance des matériaux 1</v>
      </c>
      <c r="L107" s="92" t="str">
        <f t="shared" si="192"/>
        <v>M.Hecini</v>
      </c>
      <c r="M107" s="103"/>
      <c r="N107" s="103"/>
      <c r="O107" s="92"/>
      <c r="P107" s="87" t="s">
        <v>263</v>
      </c>
      <c r="Q107" s="94"/>
      <c r="R107" s="173">
        <f t="shared" si="193"/>
        <v>0</v>
      </c>
      <c r="S107" s="92">
        <f t="shared" si="194"/>
        <v>0</v>
      </c>
      <c r="T107" s="103"/>
      <c r="U107" s="103" t="s">
        <v>285</v>
      </c>
      <c r="V107" s="92"/>
      <c r="W107" s="92"/>
      <c r="X107" s="144"/>
      <c r="Y107" s="128">
        <f t="shared" si="195"/>
        <v>0</v>
      </c>
      <c r="Z107" s="87">
        <f t="shared" si="196"/>
        <v>0</v>
      </c>
      <c r="AA107" s="87"/>
      <c r="AB107" s="87"/>
      <c r="AC107" s="87"/>
      <c r="AD107" s="142"/>
    </row>
    <row r="108" spans="1:30" ht="15.75">
      <c r="A108" s="265"/>
      <c r="B108" s="79" t="s">
        <v>241</v>
      </c>
      <c r="C108" s="95" t="s">
        <v>51</v>
      </c>
      <c r="D108" s="129" t="str">
        <f>'3 Licence'!C24</f>
        <v>Entrepreneuriat et management d'entreprise</v>
      </c>
      <c r="E108" s="96" t="s">
        <v>61</v>
      </c>
      <c r="F108" s="103"/>
      <c r="G108" s="103" t="s">
        <v>287</v>
      </c>
      <c r="H108" s="96"/>
      <c r="I108" s="96" t="str">
        <f>$B$42</f>
        <v>L3 Métallurgie</v>
      </c>
      <c r="J108" s="95"/>
      <c r="K108" s="174"/>
      <c r="L108" s="96"/>
      <c r="M108" s="103"/>
      <c r="N108" s="103" t="s">
        <v>287</v>
      </c>
      <c r="O108" s="96"/>
      <c r="P108" s="96"/>
      <c r="Q108" s="95"/>
      <c r="R108" s="174"/>
      <c r="S108" s="96"/>
      <c r="T108" s="103"/>
      <c r="U108" s="103"/>
      <c r="V108" s="96"/>
      <c r="W108" s="96" t="str">
        <f>$B$42</f>
        <v>L3 Métallurgie</v>
      </c>
      <c r="X108" s="145"/>
      <c r="Y108" s="129"/>
      <c r="Z108" s="97"/>
      <c r="AA108" s="97"/>
      <c r="AB108" s="97"/>
      <c r="AC108" s="97"/>
      <c r="AD108" s="146"/>
    </row>
    <row r="109" spans="1:30" ht="15" customHeight="1">
      <c r="A109" s="265"/>
      <c r="B109" s="269" t="s">
        <v>242</v>
      </c>
      <c r="C109" s="98" t="s">
        <v>87</v>
      </c>
      <c r="D109" s="130" t="str">
        <f>'3 Licence'!C25</f>
        <v>Entrepreneuriat et management d'entreprise</v>
      </c>
      <c r="E109" s="99" t="s">
        <v>61</v>
      </c>
      <c r="F109" s="103" t="s">
        <v>250</v>
      </c>
      <c r="G109" s="103" t="s">
        <v>284</v>
      </c>
      <c r="H109" s="99"/>
      <c r="I109" s="99" t="str">
        <f>$B$43</f>
        <v>L3 Construction</v>
      </c>
      <c r="J109" s="98"/>
      <c r="K109" s="175"/>
      <c r="L109" s="99"/>
      <c r="M109" s="103" t="s">
        <v>250</v>
      </c>
      <c r="N109" s="103" t="s">
        <v>284</v>
      </c>
      <c r="O109" s="99"/>
      <c r="P109" s="99"/>
      <c r="Q109" s="98"/>
      <c r="R109" s="175"/>
      <c r="S109" s="99"/>
      <c r="T109" s="106"/>
      <c r="U109" s="106" t="s">
        <v>288</v>
      </c>
      <c r="V109" s="99"/>
      <c r="W109" s="99" t="str">
        <f>$B$43</f>
        <v>L3 Construction</v>
      </c>
      <c r="X109" s="147"/>
      <c r="Y109" s="130"/>
      <c r="Z109" s="100"/>
      <c r="AA109" s="100" t="s">
        <v>250</v>
      </c>
      <c r="AB109" s="100"/>
      <c r="AC109" s="100"/>
      <c r="AD109" s="148"/>
    </row>
    <row r="110" spans="1:30" ht="15" customHeight="1">
      <c r="A110" s="265"/>
      <c r="B110" s="269"/>
      <c r="C110" s="98" t="s">
        <v>122</v>
      </c>
      <c r="D110" s="130" t="str">
        <f>D109</f>
        <v>Entrepreneuriat et management d'entreprise</v>
      </c>
      <c r="E110" s="99" t="str">
        <f>E109</f>
        <v>N.Moummi</v>
      </c>
      <c r="F110" s="103" t="s">
        <v>250</v>
      </c>
      <c r="G110" s="103" t="s">
        <v>284</v>
      </c>
      <c r="H110" s="99"/>
      <c r="I110" s="99" t="str">
        <f t="shared" ref="I110:I112" si="197">$B$43</f>
        <v>L3 Construction</v>
      </c>
      <c r="J110" s="98"/>
      <c r="K110" s="175">
        <f>K109</f>
        <v>0</v>
      </c>
      <c r="L110" s="99">
        <f>L109</f>
        <v>0</v>
      </c>
      <c r="M110" s="103" t="s">
        <v>250</v>
      </c>
      <c r="N110" s="103" t="s">
        <v>284</v>
      </c>
      <c r="O110" s="99"/>
      <c r="P110" s="99"/>
      <c r="Q110" s="98"/>
      <c r="R110" s="175">
        <f>R109</f>
        <v>0</v>
      </c>
      <c r="S110" s="99">
        <f>S109</f>
        <v>0</v>
      </c>
      <c r="T110" s="109" t="s">
        <v>250</v>
      </c>
      <c r="U110" s="109" t="s">
        <v>286</v>
      </c>
      <c r="V110" s="99"/>
      <c r="W110" s="99" t="str">
        <f t="shared" ref="W110:W112" si="198">$B$43</f>
        <v>L3 Construction</v>
      </c>
      <c r="X110" s="147"/>
      <c r="Y110" s="130">
        <f>Y109</f>
        <v>0</v>
      </c>
      <c r="Z110" s="100">
        <f>Z109</f>
        <v>0</v>
      </c>
      <c r="AA110" s="100" t="s">
        <v>251</v>
      </c>
      <c r="AB110" s="100"/>
      <c r="AC110" s="100"/>
      <c r="AD110" s="148"/>
    </row>
    <row r="111" spans="1:30" ht="15" customHeight="1">
      <c r="A111" s="265"/>
      <c r="B111" s="269"/>
      <c r="C111" s="98"/>
      <c r="D111" s="130" t="str">
        <f t="shared" ref="D111:D112" si="199">D110</f>
        <v>Entrepreneuriat et management d'entreprise</v>
      </c>
      <c r="E111" s="99" t="str">
        <f t="shared" ref="E111:E112" si="200">E110</f>
        <v>N.Moummi</v>
      </c>
      <c r="F111" s="106"/>
      <c r="G111" s="106"/>
      <c r="H111" s="99"/>
      <c r="I111" s="99" t="str">
        <f t="shared" si="197"/>
        <v>L3 Construction</v>
      </c>
      <c r="J111" s="98"/>
      <c r="K111" s="175">
        <f t="shared" ref="K111:K112" si="201">K110</f>
        <v>0</v>
      </c>
      <c r="L111" s="99">
        <f t="shared" ref="L111:L112" si="202">L110</f>
        <v>0</v>
      </c>
      <c r="M111" s="106"/>
      <c r="N111" s="106"/>
      <c r="O111" s="99"/>
      <c r="P111" s="99"/>
      <c r="Q111" s="98"/>
      <c r="R111" s="175">
        <f t="shared" ref="R111:R112" si="203">R110</f>
        <v>0</v>
      </c>
      <c r="S111" s="99">
        <f t="shared" ref="S111:S112" si="204">S110</f>
        <v>0</v>
      </c>
      <c r="T111" s="109" t="s">
        <v>251</v>
      </c>
      <c r="U111" s="109" t="s">
        <v>286</v>
      </c>
      <c r="V111" s="99"/>
      <c r="W111" s="99" t="str">
        <f t="shared" si="198"/>
        <v>L3 Construction</v>
      </c>
      <c r="X111" s="147"/>
      <c r="Y111" s="130">
        <f t="shared" ref="Y111:Y112" si="205">Y110</f>
        <v>0</v>
      </c>
      <c r="Z111" s="100">
        <f t="shared" ref="Z111:Z112" si="206">Z110</f>
        <v>0</v>
      </c>
      <c r="AA111" s="100"/>
      <c r="AB111" s="100"/>
      <c r="AC111" s="100"/>
      <c r="AD111" s="148"/>
    </row>
    <row r="112" spans="1:30" ht="15" customHeight="1">
      <c r="A112" s="265"/>
      <c r="B112" s="269"/>
      <c r="C112" s="98" t="s">
        <v>125</v>
      </c>
      <c r="D112" s="130" t="str">
        <f t="shared" si="199"/>
        <v>Entrepreneuriat et management d'entreprise</v>
      </c>
      <c r="E112" s="99" t="str">
        <f t="shared" si="200"/>
        <v>N.Moummi</v>
      </c>
      <c r="F112" s="109"/>
      <c r="G112" s="109"/>
      <c r="H112" s="99"/>
      <c r="I112" s="99" t="str">
        <f t="shared" si="197"/>
        <v>L3 Construction</v>
      </c>
      <c r="J112" s="98"/>
      <c r="K112" s="175">
        <f t="shared" si="201"/>
        <v>0</v>
      </c>
      <c r="L112" s="99">
        <f t="shared" si="202"/>
        <v>0</v>
      </c>
      <c r="M112" s="109"/>
      <c r="N112" s="109"/>
      <c r="O112" s="99"/>
      <c r="P112" s="99"/>
      <c r="Q112" s="98"/>
      <c r="R112" s="175">
        <f t="shared" si="203"/>
        <v>0</v>
      </c>
      <c r="S112" s="99">
        <f t="shared" si="204"/>
        <v>0</v>
      </c>
      <c r="T112" s="109"/>
      <c r="U112" s="109" t="s">
        <v>286</v>
      </c>
      <c r="V112" s="99"/>
      <c r="W112" s="99" t="str">
        <f t="shared" si="198"/>
        <v>L3 Construction</v>
      </c>
      <c r="X112" s="147"/>
      <c r="Y112" s="130">
        <f t="shared" si="205"/>
        <v>0</v>
      </c>
      <c r="Z112" s="100">
        <f t="shared" si="206"/>
        <v>0</v>
      </c>
      <c r="AA112" s="100"/>
      <c r="AB112" s="100"/>
      <c r="AC112" s="100"/>
      <c r="AD112" s="148"/>
    </row>
    <row r="113" spans="1:30" ht="15" customHeight="1">
      <c r="A113" s="265"/>
      <c r="B113" s="270" t="s">
        <v>243</v>
      </c>
      <c r="C113" s="101" t="s">
        <v>34</v>
      </c>
      <c r="D113" s="131" t="str">
        <f>'3 Licence'!C27</f>
        <v>Entrepreneuriat et management d'entreprise</v>
      </c>
      <c r="E113" s="102" t="s">
        <v>61</v>
      </c>
      <c r="F113" s="109" t="s">
        <v>250</v>
      </c>
      <c r="G113" s="109" t="s">
        <v>285</v>
      </c>
      <c r="H113" s="102"/>
      <c r="I113" s="102" t="str">
        <f>$B$47</f>
        <v>L3 Energétique</v>
      </c>
      <c r="J113" s="101"/>
      <c r="K113" s="176"/>
      <c r="L113" s="102"/>
      <c r="M113" s="109" t="s">
        <v>250</v>
      </c>
      <c r="N113" s="109" t="s">
        <v>285</v>
      </c>
      <c r="O113" s="102"/>
      <c r="P113" s="102"/>
      <c r="Q113" s="101"/>
      <c r="R113" s="176"/>
      <c r="S113" s="102"/>
      <c r="T113" s="109"/>
      <c r="U113" s="109"/>
      <c r="V113" s="102"/>
      <c r="W113" s="102" t="str">
        <f>$B$47</f>
        <v>L3 Energétique</v>
      </c>
      <c r="X113" s="149"/>
      <c r="Y113" s="131"/>
      <c r="Z113" s="103"/>
      <c r="AA113" s="103" t="s">
        <v>250</v>
      </c>
      <c r="AB113" s="103"/>
      <c r="AC113" s="103"/>
      <c r="AD113" s="150"/>
    </row>
    <row r="114" spans="1:30" ht="15" customHeight="1">
      <c r="A114" s="265"/>
      <c r="B114" s="270"/>
      <c r="C114" s="101" t="s">
        <v>88</v>
      </c>
      <c r="D114" s="131" t="str">
        <f>D113</f>
        <v>Entrepreneuriat et management d'entreprise</v>
      </c>
      <c r="E114" s="102" t="str">
        <f>E113</f>
        <v>N.Moummi</v>
      </c>
      <c r="F114" s="109"/>
      <c r="G114" s="109"/>
      <c r="H114" s="102"/>
      <c r="I114" s="102" t="str">
        <f t="shared" ref="I114:I116" si="207">$B$47</f>
        <v>L3 Energétique</v>
      </c>
      <c r="J114" s="101"/>
      <c r="K114" s="176">
        <f>K113</f>
        <v>0</v>
      </c>
      <c r="L114" s="102">
        <f>L113</f>
        <v>0</v>
      </c>
      <c r="M114" s="109"/>
      <c r="N114" s="109"/>
      <c r="O114" s="102"/>
      <c r="P114" s="102"/>
      <c r="Q114" s="101"/>
      <c r="R114" s="176">
        <f>R113</f>
        <v>0</v>
      </c>
      <c r="S114" s="102">
        <f>S113</f>
        <v>0</v>
      </c>
      <c r="T114" s="112" t="s">
        <v>250</v>
      </c>
      <c r="U114" s="112" t="s">
        <v>289</v>
      </c>
      <c r="V114" s="102"/>
      <c r="W114" s="102" t="str">
        <f t="shared" ref="W114:W116" si="208">$B$47</f>
        <v>L3 Energétique</v>
      </c>
      <c r="X114" s="149"/>
      <c r="Y114" s="131">
        <f>Y113</f>
        <v>0</v>
      </c>
      <c r="Z114" s="103">
        <f>Z113</f>
        <v>0</v>
      </c>
      <c r="AA114" s="103" t="s">
        <v>251</v>
      </c>
      <c r="AB114" s="103"/>
      <c r="AC114" s="103"/>
      <c r="AD114" s="150"/>
    </row>
    <row r="115" spans="1:30" ht="15" customHeight="1">
      <c r="A115" s="265"/>
      <c r="B115" s="270"/>
      <c r="C115" s="101"/>
      <c r="D115" s="131" t="str">
        <f t="shared" ref="D115:D116" si="209">D114</f>
        <v>Entrepreneuriat et management d'entreprise</v>
      </c>
      <c r="E115" s="102" t="str">
        <f t="shared" ref="E115:E116" si="210">E114</f>
        <v>N.Moummi</v>
      </c>
      <c r="F115" s="109"/>
      <c r="G115" s="109"/>
      <c r="H115" s="102"/>
      <c r="I115" s="102" t="str">
        <f t="shared" si="207"/>
        <v>L3 Energétique</v>
      </c>
      <c r="J115" s="101"/>
      <c r="K115" s="176">
        <f t="shared" ref="K115:K116" si="211">K114</f>
        <v>0</v>
      </c>
      <c r="L115" s="102">
        <f t="shared" ref="L115:L116" si="212">L114</f>
        <v>0</v>
      </c>
      <c r="M115" s="109"/>
      <c r="N115" s="109"/>
      <c r="O115" s="102"/>
      <c r="P115" s="102"/>
      <c r="Q115" s="101"/>
      <c r="R115" s="176">
        <f t="shared" ref="R115:R116" si="213">R114</f>
        <v>0</v>
      </c>
      <c r="S115" s="102">
        <f t="shared" ref="S115:S116" si="214">S114</f>
        <v>0</v>
      </c>
      <c r="T115" s="112" t="s">
        <v>251</v>
      </c>
      <c r="U115" s="112" t="s">
        <v>290</v>
      </c>
      <c r="V115" s="102"/>
      <c r="W115" s="102" t="str">
        <f t="shared" si="208"/>
        <v>L3 Energétique</v>
      </c>
      <c r="X115" s="149"/>
      <c r="Y115" s="131">
        <f t="shared" ref="Y115:Y116" si="215">Y114</f>
        <v>0</v>
      </c>
      <c r="Z115" s="103">
        <f t="shared" ref="Z115:Z116" si="216">Z114</f>
        <v>0</v>
      </c>
      <c r="AA115" s="103"/>
      <c r="AB115" s="103"/>
      <c r="AC115" s="103"/>
      <c r="AD115" s="150"/>
    </row>
    <row r="116" spans="1:30" ht="15" customHeight="1">
      <c r="A116" s="265"/>
      <c r="B116" s="270"/>
      <c r="C116" s="101" t="s">
        <v>65</v>
      </c>
      <c r="D116" s="131" t="str">
        <f t="shared" si="209"/>
        <v>Entrepreneuriat et management d'entreprise</v>
      </c>
      <c r="E116" s="102" t="str">
        <f t="shared" si="210"/>
        <v>N.Moummi</v>
      </c>
      <c r="F116" s="112"/>
      <c r="G116" s="112"/>
      <c r="H116" s="102"/>
      <c r="I116" s="102" t="str">
        <f t="shared" si="207"/>
        <v>L3 Energétique</v>
      </c>
      <c r="J116" s="101"/>
      <c r="K116" s="176">
        <f t="shared" si="211"/>
        <v>0</v>
      </c>
      <c r="L116" s="102">
        <f t="shared" si="212"/>
        <v>0</v>
      </c>
      <c r="M116" s="112"/>
      <c r="N116" s="112"/>
      <c r="O116" s="102"/>
      <c r="P116" s="102"/>
      <c r="Q116" s="101"/>
      <c r="R116" s="176">
        <f t="shared" si="213"/>
        <v>0</v>
      </c>
      <c r="S116" s="102">
        <f t="shared" si="214"/>
        <v>0</v>
      </c>
      <c r="T116" s="112"/>
      <c r="U116" s="112"/>
      <c r="V116" s="102"/>
      <c r="W116" s="102" t="str">
        <f t="shared" si="208"/>
        <v>L3 Energétique</v>
      </c>
      <c r="X116" s="149"/>
      <c r="Y116" s="131">
        <f t="shared" si="215"/>
        <v>0</v>
      </c>
      <c r="Z116" s="103">
        <f t="shared" si="216"/>
        <v>0</v>
      </c>
      <c r="AA116" s="103"/>
      <c r="AB116" s="103"/>
      <c r="AC116" s="103"/>
      <c r="AD116" s="150"/>
    </row>
    <row r="117" spans="1:30" ht="15.75">
      <c r="A117" s="265"/>
      <c r="B117" s="80" t="s">
        <v>244</v>
      </c>
      <c r="C117" s="104" t="s">
        <v>44</v>
      </c>
      <c r="D117" s="132" t="str">
        <f>'Maset I'!C24</f>
        <v>Equilibre de phase</v>
      </c>
      <c r="E117" s="123" t="s">
        <v>44</v>
      </c>
      <c r="F117" s="112"/>
      <c r="G117" s="112" t="s">
        <v>293</v>
      </c>
      <c r="H117" s="105"/>
      <c r="I117" s="105" t="str">
        <f>$B$51</f>
        <v>M1 Métallurgie</v>
      </c>
      <c r="J117" s="104"/>
      <c r="K117" s="177"/>
      <c r="L117" s="123"/>
      <c r="M117" s="112"/>
      <c r="N117" s="112" t="s">
        <v>293</v>
      </c>
      <c r="O117" s="105"/>
      <c r="P117" s="105"/>
      <c r="Q117" s="104"/>
      <c r="R117" s="177"/>
      <c r="S117" s="123"/>
      <c r="T117" s="112"/>
      <c r="U117" s="112"/>
      <c r="V117" s="105"/>
      <c r="W117" s="105" t="str">
        <f>$B$51</f>
        <v>M1 Métallurgie</v>
      </c>
      <c r="X117" s="151"/>
      <c r="Y117" s="132"/>
      <c r="Z117" s="152"/>
      <c r="AA117" s="106"/>
      <c r="AB117" s="106"/>
      <c r="AC117" s="106"/>
      <c r="AD117" s="153"/>
    </row>
    <row r="118" spans="1:30" ht="15" customHeight="1">
      <c r="A118" s="265"/>
      <c r="B118" s="271" t="s">
        <v>245</v>
      </c>
      <c r="C118" s="107" t="s">
        <v>38</v>
      </c>
      <c r="D118" s="133" t="str">
        <f>'Maset I'!C25</f>
        <v>Méthode des éléments finis</v>
      </c>
      <c r="E118" s="126" t="s">
        <v>119</v>
      </c>
      <c r="F118" s="112"/>
      <c r="G118" s="112" t="s">
        <v>286</v>
      </c>
      <c r="H118" s="108"/>
      <c r="I118" s="108" t="str">
        <f>$B$52</f>
        <v>M1 Construction</v>
      </c>
      <c r="J118" s="107"/>
      <c r="K118" s="178"/>
      <c r="L118" s="126"/>
      <c r="M118" s="112"/>
      <c r="N118" s="112" t="s">
        <v>286</v>
      </c>
      <c r="O118" s="108"/>
      <c r="P118" s="108"/>
      <c r="Q118" s="107"/>
      <c r="R118" s="178"/>
      <c r="S118" s="126"/>
      <c r="T118" s="115"/>
      <c r="U118" s="115"/>
      <c r="V118" s="108"/>
      <c r="W118" s="108" t="str">
        <f>$B$52</f>
        <v>M1 Construction</v>
      </c>
      <c r="X118" s="154"/>
      <c r="Y118" s="133"/>
      <c r="Z118" s="155"/>
      <c r="AA118" s="109" t="s">
        <v>250</v>
      </c>
      <c r="AB118" s="109"/>
      <c r="AC118" s="109"/>
      <c r="AD118" s="156"/>
    </row>
    <row r="119" spans="1:30" ht="15" customHeight="1">
      <c r="A119" s="265"/>
      <c r="B119" s="271"/>
      <c r="C119" s="107" t="s">
        <v>63</v>
      </c>
      <c r="D119" s="133" t="str">
        <f>D118</f>
        <v>Méthode des éléments finis</v>
      </c>
      <c r="E119" s="108" t="str">
        <f>E118</f>
        <v>L.Sedira</v>
      </c>
      <c r="F119" s="112"/>
      <c r="G119" s="112"/>
      <c r="H119" s="108"/>
      <c r="I119" s="108" t="str">
        <f t="shared" ref="I119:I121" si="217">$B$52</f>
        <v>M1 Construction</v>
      </c>
      <c r="J119" s="107"/>
      <c r="K119" s="178">
        <f>K118</f>
        <v>0</v>
      </c>
      <c r="L119" s="108">
        <f>L118</f>
        <v>0</v>
      </c>
      <c r="M119" s="112"/>
      <c r="N119" s="112"/>
      <c r="O119" s="108"/>
      <c r="P119" s="108"/>
      <c r="Q119" s="107"/>
      <c r="R119" s="178">
        <f>R118</f>
        <v>0</v>
      </c>
      <c r="S119" s="108">
        <f>S118</f>
        <v>0</v>
      </c>
      <c r="T119" s="117" t="s">
        <v>250</v>
      </c>
      <c r="U119" s="117"/>
      <c r="V119" s="108"/>
      <c r="W119" s="108" t="str">
        <f t="shared" ref="W119:W121" si="218">$B$52</f>
        <v>M1 Construction</v>
      </c>
      <c r="X119" s="154"/>
      <c r="Y119" s="133">
        <f>Y118</f>
        <v>0</v>
      </c>
      <c r="Z119" s="109">
        <f>Z118</f>
        <v>0</v>
      </c>
      <c r="AA119" s="109" t="s">
        <v>251</v>
      </c>
      <c r="AB119" s="109"/>
      <c r="AC119" s="109"/>
      <c r="AD119" s="156"/>
    </row>
    <row r="120" spans="1:30" ht="15" customHeight="1">
      <c r="A120" s="265"/>
      <c r="B120" s="271"/>
      <c r="C120" s="107"/>
      <c r="D120" s="133" t="str">
        <f t="shared" ref="D120:D121" si="219">D119</f>
        <v>Méthode des éléments finis</v>
      </c>
      <c r="E120" s="108" t="str">
        <f t="shared" ref="E120:E121" si="220">E119</f>
        <v>L.Sedira</v>
      </c>
      <c r="F120" s="115"/>
      <c r="G120" s="115"/>
      <c r="H120" s="108"/>
      <c r="I120" s="108" t="str">
        <f t="shared" si="217"/>
        <v>M1 Construction</v>
      </c>
      <c r="J120" s="107"/>
      <c r="K120" s="178">
        <f t="shared" ref="K120:K121" si="221">K119</f>
        <v>0</v>
      </c>
      <c r="L120" s="108">
        <f t="shared" ref="L120:L121" si="222">L119</f>
        <v>0</v>
      </c>
      <c r="M120" s="115"/>
      <c r="N120" s="115"/>
      <c r="O120" s="108"/>
      <c r="P120" s="108"/>
      <c r="Q120" s="107"/>
      <c r="R120" s="178">
        <f t="shared" ref="R120:R121" si="223">R119</f>
        <v>0</v>
      </c>
      <c r="S120" s="108">
        <f t="shared" ref="S120:S121" si="224">S119</f>
        <v>0</v>
      </c>
      <c r="T120" s="117" t="s">
        <v>251</v>
      </c>
      <c r="U120" s="117"/>
      <c r="V120" s="108"/>
      <c r="W120" s="108" t="str">
        <f t="shared" si="218"/>
        <v>M1 Construction</v>
      </c>
      <c r="X120" s="154"/>
      <c r="Y120" s="133">
        <f t="shared" ref="Y120:Y121" si="225">Y119</f>
        <v>0</v>
      </c>
      <c r="Z120" s="109">
        <f t="shared" ref="Z120:Z121" si="226">Z119</f>
        <v>0</v>
      </c>
      <c r="AA120" s="109"/>
      <c r="AB120" s="109"/>
      <c r="AC120" s="109"/>
      <c r="AD120" s="156"/>
    </row>
    <row r="121" spans="1:30" ht="15" customHeight="1">
      <c r="A121" s="265"/>
      <c r="B121" s="271"/>
      <c r="C121" s="107" t="s">
        <v>119</v>
      </c>
      <c r="D121" s="133" t="str">
        <f t="shared" si="219"/>
        <v>Méthode des éléments finis</v>
      </c>
      <c r="E121" s="108" t="str">
        <f t="shared" si="220"/>
        <v>L.Sedira</v>
      </c>
      <c r="F121" s="117"/>
      <c r="G121" s="117"/>
      <c r="H121" s="108"/>
      <c r="I121" s="108" t="str">
        <f t="shared" si="217"/>
        <v>M1 Construction</v>
      </c>
      <c r="J121" s="107"/>
      <c r="K121" s="178">
        <f t="shared" si="221"/>
        <v>0</v>
      </c>
      <c r="L121" s="108">
        <f t="shared" si="222"/>
        <v>0</v>
      </c>
      <c r="M121" s="117"/>
      <c r="N121" s="117"/>
      <c r="O121" s="108"/>
      <c r="P121" s="108"/>
      <c r="Q121" s="107"/>
      <c r="R121" s="178">
        <f t="shared" si="223"/>
        <v>0</v>
      </c>
      <c r="S121" s="108">
        <f t="shared" si="224"/>
        <v>0</v>
      </c>
      <c r="T121" s="116"/>
      <c r="U121" s="117"/>
      <c r="V121" s="108"/>
      <c r="W121" s="108" t="str">
        <f t="shared" si="218"/>
        <v>M1 Construction</v>
      </c>
      <c r="X121" s="154"/>
      <c r="Y121" s="133">
        <f t="shared" si="225"/>
        <v>0</v>
      </c>
      <c r="Z121" s="109">
        <f t="shared" si="226"/>
        <v>0</v>
      </c>
      <c r="AA121" s="109"/>
      <c r="AB121" s="109"/>
      <c r="AC121" s="109"/>
      <c r="AD121" s="156"/>
    </row>
    <row r="122" spans="1:30" ht="15" customHeight="1">
      <c r="A122" s="265"/>
      <c r="B122" s="272" t="s">
        <v>246</v>
      </c>
      <c r="C122" s="110" t="s">
        <v>130</v>
      </c>
      <c r="D122" s="134" t="str">
        <f>'Maset I'!C27</f>
        <v>Dynamique des gaz</v>
      </c>
      <c r="E122" s="124" t="s">
        <v>96</v>
      </c>
      <c r="F122" s="117" t="s">
        <v>250</v>
      </c>
      <c r="G122" s="117" t="s">
        <v>289</v>
      </c>
      <c r="H122" s="111"/>
      <c r="I122" s="111" t="str">
        <f>$B$56</f>
        <v>M1 Energétique</v>
      </c>
      <c r="J122" s="110"/>
      <c r="K122" s="179"/>
      <c r="L122" s="124"/>
      <c r="M122" s="117" t="s">
        <v>250</v>
      </c>
      <c r="N122" s="117" t="s">
        <v>289</v>
      </c>
      <c r="O122" s="111"/>
      <c r="P122" s="111"/>
      <c r="Q122" s="110"/>
      <c r="R122" s="179"/>
      <c r="S122" s="124"/>
      <c r="T122" s="116"/>
      <c r="U122" s="117"/>
      <c r="V122" s="111"/>
      <c r="W122" s="111" t="str">
        <f>$B$56</f>
        <v>M1 Energétique</v>
      </c>
      <c r="X122" s="157"/>
      <c r="Y122" s="134"/>
      <c r="Z122" s="158"/>
      <c r="AA122" s="112" t="s">
        <v>250</v>
      </c>
      <c r="AB122" s="112"/>
      <c r="AC122" s="112"/>
      <c r="AD122" s="159"/>
    </row>
    <row r="123" spans="1:30" ht="15" customHeight="1">
      <c r="A123" s="265"/>
      <c r="B123" s="272"/>
      <c r="C123" s="110" t="s">
        <v>33</v>
      </c>
      <c r="D123" s="134" t="str">
        <f>D122</f>
        <v>Dynamique des gaz</v>
      </c>
      <c r="E123" s="111" t="str">
        <f>E122</f>
        <v>C.Mahboub</v>
      </c>
      <c r="F123" s="116" t="s">
        <v>292</v>
      </c>
      <c r="G123" s="117" t="s">
        <v>290</v>
      </c>
      <c r="H123" s="111"/>
      <c r="I123" s="111" t="str">
        <f t="shared" ref="I123:I125" si="227">$B$56</f>
        <v>M1 Energétique</v>
      </c>
      <c r="J123" s="110"/>
      <c r="K123" s="179">
        <f>K122</f>
        <v>0</v>
      </c>
      <c r="L123" s="111">
        <f>L122</f>
        <v>0</v>
      </c>
      <c r="M123" s="116" t="s">
        <v>292</v>
      </c>
      <c r="N123" s="117" t="s">
        <v>290</v>
      </c>
      <c r="O123" s="111"/>
      <c r="P123" s="111"/>
      <c r="Q123" s="110"/>
      <c r="R123" s="179">
        <f>R122</f>
        <v>0</v>
      </c>
      <c r="S123" s="111">
        <f>S122</f>
        <v>0</v>
      </c>
      <c r="T123" s="119" t="s">
        <v>250</v>
      </c>
      <c r="U123" s="166"/>
      <c r="V123" s="111"/>
      <c r="W123" s="111" t="str">
        <f t="shared" ref="W123:W125" si="228">$B$56</f>
        <v>M1 Energétique</v>
      </c>
      <c r="X123" s="157"/>
      <c r="Y123" s="134">
        <f>Y122</f>
        <v>0</v>
      </c>
      <c r="Z123" s="112">
        <f>Z122</f>
        <v>0</v>
      </c>
      <c r="AA123" s="112" t="s">
        <v>251</v>
      </c>
      <c r="AB123" s="112"/>
      <c r="AC123" s="112"/>
      <c r="AD123" s="159"/>
    </row>
    <row r="124" spans="1:30" ht="15" customHeight="1">
      <c r="A124" s="265"/>
      <c r="B124" s="272"/>
      <c r="C124" s="110"/>
      <c r="D124" s="134" t="str">
        <f t="shared" ref="D124:D125" si="229">D123</f>
        <v>Dynamique des gaz</v>
      </c>
      <c r="E124" s="111" t="str">
        <f t="shared" ref="E124:E125" si="230">E123</f>
        <v>C.Mahboub</v>
      </c>
      <c r="F124" s="116"/>
      <c r="G124" s="117"/>
      <c r="H124" s="111"/>
      <c r="I124" s="111" t="str">
        <f t="shared" si="227"/>
        <v>M1 Energétique</v>
      </c>
      <c r="J124" s="110"/>
      <c r="K124" s="179">
        <f t="shared" ref="K124:K125" si="231">K123</f>
        <v>0</v>
      </c>
      <c r="L124" s="111">
        <f t="shared" ref="L124:L125" si="232">L123</f>
        <v>0</v>
      </c>
      <c r="M124" s="116"/>
      <c r="N124" s="117"/>
      <c r="O124" s="111"/>
      <c r="P124" s="111"/>
      <c r="Q124" s="110"/>
      <c r="R124" s="179">
        <f t="shared" ref="R124:R125" si="233">R123</f>
        <v>0</v>
      </c>
      <c r="S124" s="111">
        <f t="shared" ref="S124:S125" si="234">S123</f>
        <v>0</v>
      </c>
      <c r="T124" s="119" t="s">
        <v>251</v>
      </c>
      <c r="U124" s="166"/>
      <c r="V124" s="111"/>
      <c r="W124" s="111" t="str">
        <f t="shared" si="228"/>
        <v>M1 Energétique</v>
      </c>
      <c r="X124" s="157"/>
      <c r="Y124" s="134">
        <f t="shared" ref="Y124:Y125" si="235">Y123</f>
        <v>0</v>
      </c>
      <c r="Z124" s="112">
        <f t="shared" ref="Z124:Z125" si="236">Z123</f>
        <v>0</v>
      </c>
      <c r="AA124" s="112"/>
      <c r="AB124" s="112"/>
      <c r="AC124" s="112"/>
      <c r="AD124" s="159"/>
    </row>
    <row r="125" spans="1:30" ht="15" customHeight="1">
      <c r="A125" s="265"/>
      <c r="B125" s="272"/>
      <c r="C125" s="110" t="s">
        <v>96</v>
      </c>
      <c r="D125" s="134" t="str">
        <f t="shared" si="229"/>
        <v>Dynamique des gaz</v>
      </c>
      <c r="E125" s="111" t="str">
        <f t="shared" si="230"/>
        <v>C.Mahboub</v>
      </c>
      <c r="F125" s="119"/>
      <c r="G125" s="166"/>
      <c r="H125" s="111"/>
      <c r="I125" s="111" t="str">
        <f t="shared" si="227"/>
        <v>M1 Energétique</v>
      </c>
      <c r="J125" s="110"/>
      <c r="K125" s="179">
        <f t="shared" si="231"/>
        <v>0</v>
      </c>
      <c r="L125" s="111">
        <f t="shared" si="232"/>
        <v>0</v>
      </c>
      <c r="M125" s="119"/>
      <c r="N125" s="166"/>
      <c r="O125" s="111"/>
      <c r="P125" s="111"/>
      <c r="Q125" s="110"/>
      <c r="R125" s="179">
        <f t="shared" si="233"/>
        <v>0</v>
      </c>
      <c r="S125" s="111">
        <f t="shared" si="234"/>
        <v>0</v>
      </c>
      <c r="T125" s="119"/>
      <c r="U125" s="166"/>
      <c r="V125" s="111"/>
      <c r="W125" s="111" t="str">
        <f t="shared" si="228"/>
        <v>M1 Energétique</v>
      </c>
      <c r="X125" s="157"/>
      <c r="Y125" s="134">
        <f t="shared" si="235"/>
        <v>0</v>
      </c>
      <c r="Z125" s="112">
        <f t="shared" si="236"/>
        <v>0</v>
      </c>
      <c r="AA125" s="112"/>
      <c r="AB125" s="112"/>
      <c r="AC125" s="112"/>
      <c r="AD125" s="159"/>
    </row>
    <row r="126" spans="1:30" ht="16.5" thickBot="1">
      <c r="A126" s="265"/>
      <c r="B126" s="81" t="s">
        <v>247</v>
      </c>
      <c r="C126" s="113"/>
      <c r="D126" s="135"/>
      <c r="E126" s="122"/>
      <c r="F126" s="119"/>
      <c r="G126" s="166"/>
      <c r="H126" s="114"/>
      <c r="I126" s="114"/>
      <c r="J126" s="113"/>
      <c r="K126" s="180"/>
      <c r="L126" s="122"/>
      <c r="M126" s="119"/>
      <c r="N126" s="166"/>
      <c r="O126" s="114"/>
      <c r="P126" s="114"/>
      <c r="Q126" s="113"/>
      <c r="R126" s="180"/>
      <c r="S126" s="122"/>
      <c r="T126" s="121"/>
      <c r="U126" s="169"/>
      <c r="V126" s="114"/>
      <c r="W126" s="114"/>
      <c r="X126" s="160"/>
      <c r="Y126" s="135"/>
      <c r="Z126" s="161"/>
      <c r="AA126" s="115"/>
      <c r="AB126" s="115"/>
      <c r="AC126" s="115"/>
      <c r="AD126" s="162"/>
    </row>
    <row r="127" spans="1:30" ht="15" customHeight="1">
      <c r="A127" s="265"/>
      <c r="B127" s="268" t="s">
        <v>248</v>
      </c>
      <c r="C127" s="93"/>
      <c r="D127" s="136"/>
      <c r="E127" s="92"/>
      <c r="F127" s="119"/>
      <c r="G127" s="166"/>
      <c r="H127" s="116"/>
      <c r="I127" s="116"/>
      <c r="J127" s="93"/>
      <c r="K127" s="181"/>
      <c r="L127" s="92"/>
      <c r="M127" s="119"/>
      <c r="N127" s="166"/>
      <c r="O127" s="116"/>
      <c r="P127" s="116"/>
      <c r="Q127" s="93"/>
      <c r="R127" s="181"/>
      <c r="S127" s="92"/>
      <c r="T127" s="117" t="s">
        <v>250</v>
      </c>
      <c r="U127" s="117"/>
      <c r="V127" s="116"/>
      <c r="W127" s="116"/>
      <c r="X127" s="143"/>
      <c r="Y127" s="136"/>
      <c r="Z127" s="87"/>
      <c r="AA127" s="117" t="s">
        <v>250</v>
      </c>
      <c r="AB127" s="117"/>
      <c r="AC127" s="117"/>
      <c r="AD127" s="163"/>
    </row>
    <row r="128" spans="1:30" ht="15" customHeight="1" thickBot="1">
      <c r="A128" s="265"/>
      <c r="B128" s="268"/>
      <c r="C128" s="93"/>
      <c r="D128" s="136">
        <f>D127</f>
        <v>0</v>
      </c>
      <c r="E128" s="116">
        <f>E127</f>
        <v>0</v>
      </c>
      <c r="F128" s="121"/>
      <c r="G128" s="169"/>
      <c r="H128" s="116"/>
      <c r="I128" s="116"/>
      <c r="J128" s="93"/>
      <c r="K128" s="181">
        <f>K127</f>
        <v>0</v>
      </c>
      <c r="L128" s="116">
        <f>L127</f>
        <v>0</v>
      </c>
      <c r="M128" s="121"/>
      <c r="N128" s="169"/>
      <c r="O128" s="116"/>
      <c r="P128" s="116"/>
      <c r="Q128" s="93"/>
      <c r="R128" s="181">
        <f>R127</f>
        <v>0</v>
      </c>
      <c r="S128" s="116">
        <f>S127</f>
        <v>0</v>
      </c>
      <c r="T128" s="117" t="s">
        <v>251</v>
      </c>
      <c r="U128" s="117"/>
      <c r="V128" s="116"/>
      <c r="W128" s="116"/>
      <c r="X128" s="143"/>
      <c r="Y128" s="136">
        <f>Y127</f>
        <v>0</v>
      </c>
      <c r="Z128" s="117">
        <f>Z127</f>
        <v>0</v>
      </c>
      <c r="AA128" s="117" t="s">
        <v>251</v>
      </c>
      <c r="AB128" s="117"/>
      <c r="AC128" s="117"/>
      <c r="AD128" s="163"/>
    </row>
    <row r="129" spans="1:30" ht="15" customHeight="1">
      <c r="A129" s="265"/>
      <c r="B129" s="268"/>
      <c r="C129" s="93"/>
      <c r="D129" s="136">
        <f t="shared" ref="D129:D130" si="237">D128</f>
        <v>0</v>
      </c>
      <c r="E129" s="116">
        <f t="shared" ref="E129:E130" si="238">E128</f>
        <v>0</v>
      </c>
      <c r="F129" s="90"/>
      <c r="G129" s="89"/>
      <c r="H129" s="116"/>
      <c r="I129" s="116"/>
      <c r="J129" s="93"/>
      <c r="K129" s="181">
        <f t="shared" ref="K129:K130" si="239">K128</f>
        <v>0</v>
      </c>
      <c r="L129" s="116">
        <f t="shared" ref="L129:L130" si="240">L128</f>
        <v>0</v>
      </c>
      <c r="M129" s="90"/>
      <c r="N129" s="89"/>
      <c r="O129" s="116"/>
      <c r="P129" s="116"/>
      <c r="Q129" s="93"/>
      <c r="R129" s="181">
        <f t="shared" ref="R129:R130" si="241">R128</f>
        <v>0</v>
      </c>
      <c r="S129" s="116">
        <f t="shared" ref="S129:S130" si="242">S128</f>
        <v>0</v>
      </c>
      <c r="T129" s="116"/>
      <c r="U129" s="117"/>
      <c r="V129" s="116"/>
      <c r="W129" s="116"/>
      <c r="X129" s="143"/>
      <c r="Y129" s="136">
        <f t="shared" ref="Y129:Y130" si="243">Y128</f>
        <v>0</v>
      </c>
      <c r="Z129" s="117">
        <f t="shared" ref="Z129:Z130" si="244">Z128</f>
        <v>0</v>
      </c>
      <c r="AA129" s="117"/>
      <c r="AB129" s="117"/>
      <c r="AC129" s="117"/>
      <c r="AD129" s="163"/>
    </row>
    <row r="130" spans="1:30" ht="15" customHeight="1">
      <c r="A130" s="265"/>
      <c r="B130" s="268"/>
      <c r="C130" s="93"/>
      <c r="D130" s="136">
        <f t="shared" si="237"/>
        <v>0</v>
      </c>
      <c r="E130" s="116">
        <f t="shared" si="238"/>
        <v>0</v>
      </c>
      <c r="F130" s="87" t="s">
        <v>250</v>
      </c>
      <c r="G130" s="92"/>
      <c r="H130" s="116"/>
      <c r="I130" s="116"/>
      <c r="J130" s="93"/>
      <c r="K130" s="181">
        <f t="shared" si="239"/>
        <v>0</v>
      </c>
      <c r="L130" s="116">
        <f t="shared" si="240"/>
        <v>0</v>
      </c>
      <c r="M130" s="87" t="s">
        <v>250</v>
      </c>
      <c r="N130" s="92"/>
      <c r="O130" s="116"/>
      <c r="P130" s="116"/>
      <c r="Q130" s="93"/>
      <c r="R130" s="181">
        <f t="shared" si="241"/>
        <v>0</v>
      </c>
      <c r="S130" s="116">
        <f t="shared" si="242"/>
        <v>0</v>
      </c>
      <c r="T130" s="116"/>
      <c r="U130" s="117"/>
      <c r="V130" s="116"/>
      <c r="W130" s="116"/>
      <c r="X130" s="143"/>
      <c r="Y130" s="136">
        <f t="shared" si="243"/>
        <v>0</v>
      </c>
      <c r="Z130" s="117">
        <f t="shared" si="244"/>
        <v>0</v>
      </c>
      <c r="AA130" s="117"/>
      <c r="AB130" s="117"/>
      <c r="AC130" s="117"/>
      <c r="AD130" s="163"/>
    </row>
    <row r="131" spans="1:30" ht="15" customHeight="1">
      <c r="A131" s="265"/>
      <c r="B131" s="273" t="s">
        <v>249</v>
      </c>
      <c r="C131" s="118"/>
      <c r="D131" s="137"/>
      <c r="E131" s="125"/>
      <c r="F131" s="87" t="s">
        <v>251</v>
      </c>
      <c r="G131" s="92"/>
      <c r="H131" s="119"/>
      <c r="I131" s="119"/>
      <c r="J131" s="118"/>
      <c r="K131" s="182"/>
      <c r="L131" s="125"/>
      <c r="M131" s="87" t="s">
        <v>251</v>
      </c>
      <c r="N131" s="92"/>
      <c r="O131" s="119"/>
      <c r="P131" s="119"/>
      <c r="Q131" s="118"/>
      <c r="R131" s="182"/>
      <c r="S131" s="125"/>
      <c r="T131" s="119" t="s">
        <v>250</v>
      </c>
      <c r="U131" s="166"/>
      <c r="V131" s="119"/>
      <c r="W131" s="119"/>
      <c r="X131" s="164"/>
      <c r="Y131" s="137"/>
      <c r="Z131" s="165"/>
      <c r="AA131" s="166" t="s">
        <v>250</v>
      </c>
      <c r="AB131" s="166"/>
      <c r="AC131" s="166"/>
      <c r="AD131" s="167"/>
    </row>
    <row r="132" spans="1:30" ht="15" customHeight="1">
      <c r="A132" s="265"/>
      <c r="B132" s="273"/>
      <c r="C132" s="118"/>
      <c r="D132" s="137">
        <f>D131</f>
        <v>0</v>
      </c>
      <c r="E132" s="119">
        <f>E131</f>
        <v>0</v>
      </c>
      <c r="F132" s="87" t="s">
        <v>252</v>
      </c>
      <c r="G132" s="92"/>
      <c r="H132" s="119"/>
      <c r="I132" s="119"/>
      <c r="J132" s="118"/>
      <c r="K132" s="182">
        <f>K131</f>
        <v>0</v>
      </c>
      <c r="L132" s="119">
        <f>L131</f>
        <v>0</v>
      </c>
      <c r="M132" s="87" t="s">
        <v>252</v>
      </c>
      <c r="N132" s="92"/>
      <c r="O132" s="119"/>
      <c r="P132" s="119"/>
      <c r="Q132" s="118"/>
      <c r="R132" s="182">
        <f>R131</f>
        <v>0</v>
      </c>
      <c r="S132" s="119">
        <f>S131</f>
        <v>0</v>
      </c>
      <c r="T132" s="119" t="s">
        <v>251</v>
      </c>
      <c r="U132" s="166"/>
      <c r="V132" s="119"/>
      <c r="W132" s="119"/>
      <c r="X132" s="164"/>
      <c r="Y132" s="137">
        <f>Y131</f>
        <v>0</v>
      </c>
      <c r="Z132" s="166">
        <f>Z131</f>
        <v>0</v>
      </c>
      <c r="AA132" s="166" t="s">
        <v>251</v>
      </c>
      <c r="AB132" s="166"/>
      <c r="AC132" s="166"/>
      <c r="AD132" s="167"/>
    </row>
    <row r="133" spans="1:30" ht="15" customHeight="1">
      <c r="A133" s="265"/>
      <c r="B133" s="273"/>
      <c r="C133" s="118"/>
      <c r="D133" s="137">
        <f t="shared" ref="D133:D134" si="245">D132</f>
        <v>0</v>
      </c>
      <c r="E133" s="119">
        <f t="shared" ref="E133:E134" si="246">E132</f>
        <v>0</v>
      </c>
      <c r="F133" s="87"/>
      <c r="G133" s="92"/>
      <c r="H133" s="119"/>
      <c r="I133" s="119"/>
      <c r="J133" s="118"/>
      <c r="K133" s="182">
        <f t="shared" ref="K133:K134" si="247">K132</f>
        <v>0</v>
      </c>
      <c r="L133" s="119">
        <f t="shared" ref="L133:L134" si="248">L132</f>
        <v>0</v>
      </c>
      <c r="M133" s="87"/>
      <c r="N133" s="92"/>
      <c r="O133" s="119"/>
      <c r="P133" s="119"/>
      <c r="Q133" s="118"/>
      <c r="R133" s="182">
        <f t="shared" ref="R133:R134" si="249">R132</f>
        <v>0</v>
      </c>
      <c r="S133" s="119">
        <f t="shared" ref="S133:S134" si="250">S132</f>
        <v>0</v>
      </c>
      <c r="T133" s="119"/>
      <c r="U133" s="166"/>
      <c r="V133" s="119"/>
      <c r="W133" s="119"/>
      <c r="X133" s="164"/>
      <c r="Y133" s="137">
        <f t="shared" ref="Y133:Y134" si="251">Y132</f>
        <v>0</v>
      </c>
      <c r="Z133" s="166">
        <f t="shared" ref="Z133:Z134" si="252">Z132</f>
        <v>0</v>
      </c>
      <c r="AA133" s="166"/>
      <c r="AB133" s="166"/>
      <c r="AC133" s="166"/>
      <c r="AD133" s="167"/>
    </row>
    <row r="134" spans="1:30" ht="15.75" customHeight="1" thickBot="1">
      <c r="A134" s="266"/>
      <c r="B134" s="274"/>
      <c r="C134" s="120"/>
      <c r="D134" s="138">
        <f t="shared" si="245"/>
        <v>0</v>
      </c>
      <c r="E134" s="121">
        <f t="shared" si="246"/>
        <v>0</v>
      </c>
      <c r="F134" s="87"/>
      <c r="G134" s="92"/>
      <c r="H134" s="121"/>
      <c r="I134" s="121"/>
      <c r="J134" s="120"/>
      <c r="K134" s="183">
        <f t="shared" si="247"/>
        <v>0</v>
      </c>
      <c r="L134" s="121">
        <f t="shared" si="248"/>
        <v>0</v>
      </c>
      <c r="M134" s="87"/>
      <c r="N134" s="92"/>
      <c r="O134" s="121"/>
      <c r="P134" s="121"/>
      <c r="Q134" s="120"/>
      <c r="R134" s="183">
        <f t="shared" si="249"/>
        <v>0</v>
      </c>
      <c r="S134" s="121">
        <f t="shared" si="250"/>
        <v>0</v>
      </c>
      <c r="T134" s="121"/>
      <c r="U134" s="169"/>
      <c r="V134" s="121"/>
      <c r="W134" s="121"/>
      <c r="X134" s="168"/>
      <c r="Y134" s="138">
        <f t="shared" si="251"/>
        <v>0</v>
      </c>
      <c r="Z134" s="169">
        <f t="shared" si="252"/>
        <v>0</v>
      </c>
      <c r="AA134" s="169"/>
      <c r="AB134" s="169"/>
      <c r="AC134" s="169"/>
      <c r="AD134" s="170"/>
    </row>
    <row r="135" spans="1:30" ht="16.5" thickBot="1">
      <c r="A135" s="264" t="s">
        <v>266</v>
      </c>
      <c r="B135" s="86" t="s">
        <v>239</v>
      </c>
      <c r="C135" s="88"/>
      <c r="D135" s="127"/>
      <c r="E135" s="89"/>
      <c r="F135" s="97"/>
      <c r="G135" s="97" t="s">
        <v>291</v>
      </c>
      <c r="H135" s="89"/>
      <c r="I135" s="89"/>
      <c r="J135" s="88" t="s">
        <v>38</v>
      </c>
      <c r="K135" s="172" t="str">
        <f>'2 Licence'!C25</f>
        <v>Mathématique 4</v>
      </c>
      <c r="L135" s="89" t="s">
        <v>38</v>
      </c>
      <c r="M135" s="97"/>
      <c r="N135" s="97" t="s">
        <v>286</v>
      </c>
      <c r="O135" s="89"/>
      <c r="P135" s="90" t="s">
        <v>262</v>
      </c>
      <c r="Q135" s="88"/>
      <c r="R135" s="172"/>
      <c r="S135" s="89"/>
      <c r="T135" s="100" t="s">
        <v>251</v>
      </c>
      <c r="U135" s="100" t="s">
        <v>284</v>
      </c>
      <c r="V135" s="89"/>
      <c r="W135" s="89"/>
      <c r="X135" s="139"/>
      <c r="Y135" s="127"/>
      <c r="Z135" s="90"/>
      <c r="AA135" s="90"/>
      <c r="AB135" s="90"/>
      <c r="AC135" s="90"/>
      <c r="AD135" s="140"/>
    </row>
    <row r="136" spans="1:30" ht="15" customHeight="1">
      <c r="A136" s="265"/>
      <c r="B136" s="267" t="s">
        <v>240</v>
      </c>
      <c r="C136" s="91"/>
      <c r="D136" s="128"/>
      <c r="E136" s="92"/>
      <c r="F136" s="100"/>
      <c r="G136" s="100"/>
      <c r="H136" s="92"/>
      <c r="I136" s="92"/>
      <c r="J136" s="91" t="s">
        <v>84</v>
      </c>
      <c r="K136" s="173" t="str">
        <f>'2 Licence'!C26</f>
        <v>Mathématique 4</v>
      </c>
      <c r="L136" s="92" t="s">
        <v>38</v>
      </c>
      <c r="M136" s="100"/>
      <c r="N136" s="100" t="s">
        <v>287</v>
      </c>
      <c r="O136" s="92"/>
      <c r="P136" s="87" t="s">
        <v>263</v>
      </c>
      <c r="Q136" s="91"/>
      <c r="R136" s="173"/>
      <c r="S136" s="92"/>
      <c r="T136" s="100"/>
      <c r="U136" s="100" t="s">
        <v>284</v>
      </c>
      <c r="V136" s="92"/>
      <c r="W136" s="92"/>
      <c r="X136" s="141"/>
      <c r="Y136" s="128"/>
      <c r="Z136" s="87"/>
      <c r="AA136" s="87" t="s">
        <v>250</v>
      </c>
      <c r="AB136" s="87"/>
      <c r="AC136" s="87"/>
      <c r="AD136" s="142"/>
    </row>
    <row r="137" spans="1:30" ht="15" customHeight="1">
      <c r="A137" s="265"/>
      <c r="B137" s="268"/>
      <c r="C137" s="93"/>
      <c r="D137" s="128">
        <f>D136</f>
        <v>0</v>
      </c>
      <c r="E137" s="92">
        <f>E136</f>
        <v>0</v>
      </c>
      <c r="F137" s="100"/>
      <c r="G137" s="100"/>
      <c r="H137" s="92"/>
      <c r="I137" s="92"/>
      <c r="J137" s="93" t="s">
        <v>100</v>
      </c>
      <c r="K137" s="173" t="str">
        <f>K136</f>
        <v>Mathématique 4</v>
      </c>
      <c r="L137" s="92" t="str">
        <f>L136</f>
        <v>K.Zeghdoudi</v>
      </c>
      <c r="M137" s="100"/>
      <c r="N137" s="100" t="s">
        <v>289</v>
      </c>
      <c r="O137" s="92"/>
      <c r="P137" s="87" t="s">
        <v>263</v>
      </c>
      <c r="Q137" s="93"/>
      <c r="R137" s="173">
        <f>R136</f>
        <v>0</v>
      </c>
      <c r="S137" s="92">
        <f>S136</f>
        <v>0</v>
      </c>
      <c r="T137" s="100"/>
      <c r="U137" s="100"/>
      <c r="V137" s="92"/>
      <c r="W137" s="92"/>
      <c r="X137" s="143"/>
      <c r="Y137" s="128">
        <f>Y136</f>
        <v>0</v>
      </c>
      <c r="Z137" s="87">
        <f>Z136</f>
        <v>0</v>
      </c>
      <c r="AA137" s="87" t="s">
        <v>251</v>
      </c>
      <c r="AB137" s="87"/>
      <c r="AC137" s="87"/>
      <c r="AD137" s="142"/>
    </row>
    <row r="138" spans="1:30" ht="15" customHeight="1">
      <c r="A138" s="265"/>
      <c r="B138" s="268"/>
      <c r="C138" s="93"/>
      <c r="D138" s="128">
        <f t="shared" ref="D138:D140" si="253">D137</f>
        <v>0</v>
      </c>
      <c r="E138" s="92">
        <f t="shared" ref="E138:E140" si="254">E137</f>
        <v>0</v>
      </c>
      <c r="F138" s="100"/>
      <c r="G138" s="100"/>
      <c r="H138" s="92"/>
      <c r="I138" s="92"/>
      <c r="J138" s="93" t="s">
        <v>67</v>
      </c>
      <c r="K138" s="173" t="str">
        <f t="shared" ref="K138:K140" si="255">K137</f>
        <v>Mathématique 4</v>
      </c>
      <c r="L138" s="92" t="str">
        <f t="shared" ref="L138:L140" si="256">L137</f>
        <v>K.Zeghdoudi</v>
      </c>
      <c r="M138" s="100"/>
      <c r="N138" s="100" t="s">
        <v>290</v>
      </c>
      <c r="O138" s="92"/>
      <c r="P138" s="87" t="s">
        <v>263</v>
      </c>
      <c r="Q138" s="93"/>
      <c r="R138" s="173">
        <f t="shared" ref="R138:R140" si="257">R137</f>
        <v>0</v>
      </c>
      <c r="S138" s="92">
        <f t="shared" ref="S138:S140" si="258">S137</f>
        <v>0</v>
      </c>
      <c r="T138" s="103" t="s">
        <v>250</v>
      </c>
      <c r="U138" s="103" t="s">
        <v>285</v>
      </c>
      <c r="V138" s="92"/>
      <c r="W138" s="92"/>
      <c r="X138" s="143"/>
      <c r="Y138" s="128">
        <f t="shared" ref="Y138:Y140" si="259">Y137</f>
        <v>0</v>
      </c>
      <c r="Z138" s="87">
        <f t="shared" ref="Z138:Z140" si="260">Z137</f>
        <v>0</v>
      </c>
      <c r="AA138" s="87" t="s">
        <v>252</v>
      </c>
      <c r="AB138" s="87"/>
      <c r="AC138" s="87"/>
      <c r="AD138" s="142"/>
    </row>
    <row r="139" spans="1:30" ht="15" customHeight="1">
      <c r="A139" s="265"/>
      <c r="B139" s="268"/>
      <c r="C139" s="93"/>
      <c r="D139" s="128">
        <f t="shared" si="253"/>
        <v>0</v>
      </c>
      <c r="E139" s="92">
        <f t="shared" si="254"/>
        <v>0</v>
      </c>
      <c r="F139" s="100"/>
      <c r="G139" s="100"/>
      <c r="H139" s="92"/>
      <c r="I139" s="92"/>
      <c r="J139" s="93" t="s">
        <v>260</v>
      </c>
      <c r="K139" s="173" t="str">
        <f t="shared" si="255"/>
        <v>Mathématique 4</v>
      </c>
      <c r="L139" s="92" t="str">
        <f t="shared" si="256"/>
        <v>K.Zeghdoudi</v>
      </c>
      <c r="M139" s="100"/>
      <c r="N139" s="100" t="s">
        <v>291</v>
      </c>
      <c r="O139" s="92"/>
      <c r="P139" s="87" t="s">
        <v>263</v>
      </c>
      <c r="Q139" s="93"/>
      <c r="R139" s="173">
        <f t="shared" si="257"/>
        <v>0</v>
      </c>
      <c r="S139" s="92">
        <f t="shared" si="258"/>
        <v>0</v>
      </c>
      <c r="T139" s="103"/>
      <c r="U139" s="103" t="s">
        <v>285</v>
      </c>
      <c r="V139" s="92"/>
      <c r="W139" s="92"/>
      <c r="X139" s="143"/>
      <c r="Y139" s="128">
        <f t="shared" si="259"/>
        <v>0</v>
      </c>
      <c r="Z139" s="87">
        <f t="shared" si="260"/>
        <v>0</v>
      </c>
      <c r="AA139" s="87"/>
      <c r="AB139" s="87"/>
      <c r="AC139" s="87"/>
      <c r="AD139" s="142"/>
    </row>
    <row r="140" spans="1:30" ht="15" customHeight="1">
      <c r="A140" s="265"/>
      <c r="B140" s="268"/>
      <c r="C140" s="94"/>
      <c r="D140" s="128">
        <f t="shared" si="253"/>
        <v>0</v>
      </c>
      <c r="E140" s="92">
        <f t="shared" si="254"/>
        <v>0</v>
      </c>
      <c r="F140" s="103"/>
      <c r="G140" s="103"/>
      <c r="H140" s="92"/>
      <c r="I140" s="92"/>
      <c r="J140" s="94" t="s">
        <v>38</v>
      </c>
      <c r="K140" s="173" t="str">
        <f t="shared" si="255"/>
        <v>Mathématique 4</v>
      </c>
      <c r="L140" s="92" t="str">
        <f t="shared" si="256"/>
        <v>K.Zeghdoudi</v>
      </c>
      <c r="M140" s="103"/>
      <c r="N140" s="103"/>
      <c r="O140" s="92"/>
      <c r="P140" s="87" t="s">
        <v>263</v>
      </c>
      <c r="Q140" s="94"/>
      <c r="R140" s="173">
        <f t="shared" si="257"/>
        <v>0</v>
      </c>
      <c r="S140" s="92">
        <f t="shared" si="258"/>
        <v>0</v>
      </c>
      <c r="T140" s="103"/>
      <c r="U140" s="103" t="s">
        <v>285</v>
      </c>
      <c r="V140" s="92"/>
      <c r="W140" s="92"/>
      <c r="X140" s="144"/>
      <c r="Y140" s="128">
        <f t="shared" si="259"/>
        <v>0</v>
      </c>
      <c r="Z140" s="87">
        <f t="shared" si="260"/>
        <v>0</v>
      </c>
      <c r="AA140" s="87"/>
      <c r="AB140" s="87"/>
      <c r="AC140" s="87"/>
      <c r="AD140" s="142"/>
    </row>
    <row r="141" spans="1:30" ht="15.75">
      <c r="A141" s="265"/>
      <c r="B141" s="79" t="s">
        <v>241</v>
      </c>
      <c r="C141" s="95" t="s">
        <v>51</v>
      </c>
      <c r="D141" s="129" t="str">
        <f>'3 Licence'!C29</f>
        <v>Métallurgie physique 2</v>
      </c>
      <c r="E141" s="96" t="s">
        <v>51</v>
      </c>
      <c r="F141" s="103"/>
      <c r="G141" s="103" t="s">
        <v>287</v>
      </c>
      <c r="H141" s="96"/>
      <c r="I141" s="96" t="str">
        <f>$B$42</f>
        <v>L3 Métallurgie</v>
      </c>
      <c r="J141" s="95"/>
      <c r="K141" s="174"/>
      <c r="L141" s="96"/>
      <c r="M141" s="103"/>
      <c r="N141" s="103"/>
      <c r="O141" s="96"/>
      <c r="P141" s="96"/>
      <c r="Q141" s="95"/>
      <c r="R141" s="174"/>
      <c r="S141" s="96"/>
      <c r="T141" s="103"/>
      <c r="U141" s="103"/>
      <c r="V141" s="96"/>
      <c r="W141" s="96" t="str">
        <f>$B$42</f>
        <v>L3 Métallurgie</v>
      </c>
      <c r="X141" s="145"/>
      <c r="Y141" s="129"/>
      <c r="Z141" s="97"/>
      <c r="AA141" s="97"/>
      <c r="AB141" s="97"/>
      <c r="AC141" s="97"/>
      <c r="AD141" s="146"/>
    </row>
    <row r="142" spans="1:30" ht="15" customHeight="1">
      <c r="A142" s="265"/>
      <c r="B142" s="269" t="s">
        <v>242</v>
      </c>
      <c r="C142" s="98" t="s">
        <v>31</v>
      </c>
      <c r="D142" s="130" t="str">
        <f>'3 Licence'!C30</f>
        <v>Construction mécanique 2</v>
      </c>
      <c r="E142" s="99" t="s">
        <v>125</v>
      </c>
      <c r="F142" s="103" t="s">
        <v>250</v>
      </c>
      <c r="G142" s="103" t="s">
        <v>284</v>
      </c>
      <c r="H142" s="99"/>
      <c r="I142" s="99" t="str">
        <f>$B$43</f>
        <v>L3 Construction</v>
      </c>
      <c r="J142" s="98"/>
      <c r="K142" s="175"/>
      <c r="L142" s="99"/>
      <c r="M142" s="103" t="s">
        <v>250</v>
      </c>
      <c r="N142" s="103"/>
      <c r="O142" s="99"/>
      <c r="P142" s="99"/>
      <c r="Q142" s="98"/>
      <c r="R142" s="175"/>
      <c r="S142" s="99"/>
      <c r="T142" s="106"/>
      <c r="U142" s="106" t="s">
        <v>288</v>
      </c>
      <c r="V142" s="99"/>
      <c r="W142" s="99" t="str">
        <f>$B$43</f>
        <v>L3 Construction</v>
      </c>
      <c r="X142" s="147"/>
      <c r="Y142" s="130"/>
      <c r="Z142" s="100"/>
      <c r="AA142" s="100" t="s">
        <v>250</v>
      </c>
      <c r="AB142" s="100"/>
      <c r="AC142" s="100"/>
      <c r="AD142" s="148"/>
    </row>
    <row r="143" spans="1:30" ht="15" customHeight="1">
      <c r="A143" s="265"/>
      <c r="B143" s="269"/>
      <c r="C143" s="98" t="s">
        <v>125</v>
      </c>
      <c r="D143" s="130" t="str">
        <f>D142</f>
        <v>Construction mécanique 2</v>
      </c>
      <c r="E143" s="99" t="str">
        <f>E142</f>
        <v>L.Baci</v>
      </c>
      <c r="F143" s="103" t="s">
        <v>250</v>
      </c>
      <c r="G143" s="103" t="s">
        <v>284</v>
      </c>
      <c r="H143" s="99"/>
      <c r="I143" s="99" t="str">
        <f t="shared" ref="I143:I145" si="261">$B$43</f>
        <v>L3 Construction</v>
      </c>
      <c r="J143" s="98"/>
      <c r="K143" s="175">
        <f>K142</f>
        <v>0</v>
      </c>
      <c r="L143" s="99">
        <f>L142</f>
        <v>0</v>
      </c>
      <c r="M143" s="103" t="s">
        <v>250</v>
      </c>
      <c r="N143" s="103"/>
      <c r="O143" s="99"/>
      <c r="P143" s="99"/>
      <c r="Q143" s="98"/>
      <c r="R143" s="175">
        <f>R142</f>
        <v>0</v>
      </c>
      <c r="S143" s="99">
        <f>S142</f>
        <v>0</v>
      </c>
      <c r="T143" s="109" t="s">
        <v>250</v>
      </c>
      <c r="U143" s="109" t="s">
        <v>286</v>
      </c>
      <c r="V143" s="99"/>
      <c r="W143" s="99" t="str">
        <f t="shared" ref="W143:W145" si="262">$B$43</f>
        <v>L3 Construction</v>
      </c>
      <c r="X143" s="147"/>
      <c r="Y143" s="130">
        <f>Y142</f>
        <v>0</v>
      </c>
      <c r="Z143" s="100">
        <f>Z142</f>
        <v>0</v>
      </c>
      <c r="AA143" s="100" t="s">
        <v>251</v>
      </c>
      <c r="AB143" s="100"/>
      <c r="AC143" s="100"/>
      <c r="AD143" s="148"/>
    </row>
    <row r="144" spans="1:30" ht="15" customHeight="1">
      <c r="A144" s="265"/>
      <c r="B144" s="269"/>
      <c r="C144" s="98" t="s">
        <v>65</v>
      </c>
      <c r="D144" s="130" t="str">
        <f t="shared" ref="D144:D145" si="263">D143</f>
        <v>Construction mécanique 2</v>
      </c>
      <c r="E144" s="99" t="str">
        <f t="shared" ref="E144:E145" si="264">E143</f>
        <v>L.Baci</v>
      </c>
      <c r="F144" s="106"/>
      <c r="G144" s="106"/>
      <c r="H144" s="99"/>
      <c r="I144" s="99" t="str">
        <f t="shared" si="261"/>
        <v>L3 Construction</v>
      </c>
      <c r="J144" s="98"/>
      <c r="K144" s="175">
        <f t="shared" ref="K144:K145" si="265">K143</f>
        <v>0</v>
      </c>
      <c r="L144" s="99">
        <f t="shared" ref="L144:L145" si="266">L143</f>
        <v>0</v>
      </c>
      <c r="M144" s="106"/>
      <c r="N144" s="106"/>
      <c r="O144" s="99"/>
      <c r="P144" s="99"/>
      <c r="Q144" s="98"/>
      <c r="R144" s="175">
        <f t="shared" ref="R144:R145" si="267">R143</f>
        <v>0</v>
      </c>
      <c r="S144" s="99">
        <f t="shared" ref="S144:S145" si="268">S143</f>
        <v>0</v>
      </c>
      <c r="T144" s="109" t="s">
        <v>251</v>
      </c>
      <c r="U144" s="109" t="s">
        <v>286</v>
      </c>
      <c r="V144" s="99"/>
      <c r="W144" s="99" t="str">
        <f t="shared" si="262"/>
        <v>L3 Construction</v>
      </c>
      <c r="X144" s="147"/>
      <c r="Y144" s="130">
        <f t="shared" ref="Y144:Y145" si="269">Y143</f>
        <v>0</v>
      </c>
      <c r="Z144" s="100">
        <f t="shared" ref="Z144:Z145" si="270">Z143</f>
        <v>0</v>
      </c>
      <c r="AA144" s="100"/>
      <c r="AB144" s="100"/>
      <c r="AC144" s="100"/>
      <c r="AD144" s="148"/>
    </row>
    <row r="145" spans="1:30" ht="15" customHeight="1">
      <c r="A145" s="265"/>
      <c r="B145" s="269"/>
      <c r="C145" s="98" t="s">
        <v>87</v>
      </c>
      <c r="D145" s="130" t="str">
        <f t="shared" si="263"/>
        <v>Construction mécanique 2</v>
      </c>
      <c r="E145" s="99" t="str">
        <f t="shared" si="264"/>
        <v>L.Baci</v>
      </c>
      <c r="F145" s="109"/>
      <c r="G145" s="109"/>
      <c r="H145" s="99"/>
      <c r="I145" s="99" t="str">
        <f t="shared" si="261"/>
        <v>L3 Construction</v>
      </c>
      <c r="J145" s="98"/>
      <c r="K145" s="175">
        <f t="shared" si="265"/>
        <v>0</v>
      </c>
      <c r="L145" s="99">
        <f t="shared" si="266"/>
        <v>0</v>
      </c>
      <c r="M145" s="109"/>
      <c r="N145" s="109"/>
      <c r="O145" s="99"/>
      <c r="P145" s="99"/>
      <c r="Q145" s="98"/>
      <c r="R145" s="175">
        <f t="shared" si="267"/>
        <v>0</v>
      </c>
      <c r="S145" s="99">
        <f t="shared" si="268"/>
        <v>0</v>
      </c>
      <c r="T145" s="109"/>
      <c r="U145" s="109" t="s">
        <v>286</v>
      </c>
      <c r="V145" s="99"/>
      <c r="W145" s="99" t="str">
        <f t="shared" si="262"/>
        <v>L3 Construction</v>
      </c>
      <c r="X145" s="147"/>
      <c r="Y145" s="130">
        <f t="shared" si="269"/>
        <v>0</v>
      </c>
      <c r="Z145" s="100">
        <f t="shared" si="270"/>
        <v>0</v>
      </c>
      <c r="AA145" s="100"/>
      <c r="AB145" s="100"/>
      <c r="AC145" s="100"/>
      <c r="AD145" s="148"/>
    </row>
    <row r="146" spans="1:30" ht="15" customHeight="1">
      <c r="A146" s="265"/>
      <c r="B146" s="270" t="s">
        <v>243</v>
      </c>
      <c r="C146" s="101"/>
      <c r="D146" s="131" t="str">
        <f>'3 Licence'!C32</f>
        <v>Transfert de chaleur 2</v>
      </c>
      <c r="E146" s="102" t="s">
        <v>65</v>
      </c>
      <c r="F146" s="109" t="s">
        <v>250</v>
      </c>
      <c r="H146" s="102"/>
      <c r="I146" s="102" t="str">
        <f>$B$47</f>
        <v>L3 Energétique</v>
      </c>
      <c r="J146" s="101"/>
      <c r="K146" s="176"/>
      <c r="L146" s="102"/>
      <c r="M146" s="109" t="s">
        <v>250</v>
      </c>
      <c r="N146" s="109" t="s">
        <v>285</v>
      </c>
      <c r="O146" s="102"/>
      <c r="P146" s="102"/>
      <c r="Q146" s="101"/>
      <c r="R146" s="176"/>
      <c r="S146" s="102"/>
      <c r="T146" s="109"/>
      <c r="U146" s="109"/>
      <c r="V146" s="102"/>
      <c r="W146" s="102" t="str">
        <f>$B$47</f>
        <v>L3 Energétique</v>
      </c>
      <c r="X146" s="149"/>
      <c r="Y146" s="131"/>
      <c r="Z146" s="103"/>
      <c r="AA146" s="103" t="s">
        <v>250</v>
      </c>
      <c r="AB146" s="103"/>
      <c r="AC146" s="103"/>
      <c r="AD146" s="150"/>
    </row>
    <row r="147" spans="1:30" ht="15" customHeight="1">
      <c r="A147" s="265"/>
      <c r="B147" s="270"/>
      <c r="C147" s="101"/>
      <c r="D147" s="131" t="str">
        <f>D146</f>
        <v>Transfert de chaleur 2</v>
      </c>
      <c r="E147" s="102" t="str">
        <f>E146</f>
        <v>N.Boultif</v>
      </c>
      <c r="F147" s="109"/>
      <c r="G147" s="109"/>
      <c r="H147" s="102"/>
      <c r="I147" s="102" t="str">
        <f t="shared" ref="I147:I149" si="271">$B$47</f>
        <v>L3 Energétique</v>
      </c>
      <c r="J147" s="101"/>
      <c r="K147" s="176">
        <f>K146</f>
        <v>0</v>
      </c>
      <c r="L147" s="102">
        <f>L146</f>
        <v>0</v>
      </c>
      <c r="M147" s="109"/>
      <c r="N147" s="109"/>
      <c r="O147" s="102"/>
      <c r="P147" s="102"/>
      <c r="Q147" s="101"/>
      <c r="R147" s="176">
        <f>R146</f>
        <v>0</v>
      </c>
      <c r="S147" s="102">
        <f>S146</f>
        <v>0</v>
      </c>
      <c r="T147" s="112" t="s">
        <v>250</v>
      </c>
      <c r="U147" s="112" t="s">
        <v>289</v>
      </c>
      <c r="V147" s="102"/>
      <c r="W147" s="102" t="str">
        <f t="shared" ref="W147:W149" si="272">$B$47</f>
        <v>L3 Energétique</v>
      </c>
      <c r="X147" s="149"/>
      <c r="Y147" s="131">
        <f>Y146</f>
        <v>0</v>
      </c>
      <c r="Z147" s="103">
        <f>Z146</f>
        <v>0</v>
      </c>
      <c r="AA147" s="103" t="s">
        <v>251</v>
      </c>
      <c r="AB147" s="103"/>
      <c r="AC147" s="103"/>
      <c r="AD147" s="150"/>
    </row>
    <row r="148" spans="1:30" ht="15" customHeight="1">
      <c r="A148" s="265"/>
      <c r="B148" s="270"/>
      <c r="C148" s="101" t="s">
        <v>36</v>
      </c>
      <c r="D148" s="131" t="str">
        <f t="shared" ref="D148:D149" si="273">D147</f>
        <v>Transfert de chaleur 2</v>
      </c>
      <c r="E148" s="102" t="str">
        <f t="shared" ref="E148:E149" si="274">E147</f>
        <v>N.Boultif</v>
      </c>
      <c r="F148" s="109"/>
      <c r="G148" s="109" t="s">
        <v>285</v>
      </c>
      <c r="H148" s="102"/>
      <c r="I148" s="102" t="str">
        <f t="shared" si="271"/>
        <v>L3 Energétique</v>
      </c>
      <c r="J148" s="101"/>
      <c r="K148" s="176">
        <f t="shared" ref="K148:K149" si="275">K147</f>
        <v>0</v>
      </c>
      <c r="L148" s="102">
        <f t="shared" ref="L148:L149" si="276">L147</f>
        <v>0</v>
      </c>
      <c r="M148" s="109"/>
      <c r="N148" s="109"/>
      <c r="O148" s="102"/>
      <c r="P148" s="102"/>
      <c r="Q148" s="101"/>
      <c r="R148" s="176">
        <f t="shared" ref="R148:R149" si="277">R147</f>
        <v>0</v>
      </c>
      <c r="S148" s="102">
        <f t="shared" ref="S148:S149" si="278">S147</f>
        <v>0</v>
      </c>
      <c r="T148" s="112" t="s">
        <v>251</v>
      </c>
      <c r="U148" s="112" t="s">
        <v>290</v>
      </c>
      <c r="V148" s="102"/>
      <c r="W148" s="102" t="str">
        <f t="shared" si="272"/>
        <v>L3 Energétique</v>
      </c>
      <c r="X148" s="149"/>
      <c r="Y148" s="131">
        <f t="shared" ref="Y148:Y149" si="279">Y147</f>
        <v>0</v>
      </c>
      <c r="Z148" s="103">
        <f t="shared" ref="Z148:Z149" si="280">Z147</f>
        <v>0</v>
      </c>
      <c r="AA148" s="103"/>
      <c r="AB148" s="103"/>
      <c r="AC148" s="103"/>
      <c r="AD148" s="150"/>
    </row>
    <row r="149" spans="1:30" ht="15" customHeight="1">
      <c r="A149" s="265"/>
      <c r="B149" s="270"/>
      <c r="C149" s="101" t="s">
        <v>65</v>
      </c>
      <c r="D149" s="131" t="str">
        <f t="shared" si="273"/>
        <v>Transfert de chaleur 2</v>
      </c>
      <c r="E149" s="102" t="str">
        <f t="shared" si="274"/>
        <v>N.Boultif</v>
      </c>
      <c r="F149" s="112"/>
      <c r="G149" s="109" t="s">
        <v>285</v>
      </c>
      <c r="H149" s="102"/>
      <c r="I149" s="102" t="str">
        <f t="shared" si="271"/>
        <v>L3 Energétique</v>
      </c>
      <c r="J149" s="101"/>
      <c r="K149" s="176">
        <f t="shared" si="275"/>
        <v>0</v>
      </c>
      <c r="L149" s="102">
        <f t="shared" si="276"/>
        <v>0</v>
      </c>
      <c r="M149" s="112"/>
      <c r="N149" s="112"/>
      <c r="O149" s="102"/>
      <c r="P149" s="102"/>
      <c r="Q149" s="101"/>
      <c r="R149" s="176">
        <f t="shared" si="277"/>
        <v>0</v>
      </c>
      <c r="S149" s="102">
        <f t="shared" si="278"/>
        <v>0</v>
      </c>
      <c r="T149" s="112"/>
      <c r="U149" s="112"/>
      <c r="V149" s="102"/>
      <c r="W149" s="102" t="str">
        <f t="shared" si="272"/>
        <v>L3 Energétique</v>
      </c>
      <c r="X149" s="149"/>
      <c r="Y149" s="131">
        <f t="shared" si="279"/>
        <v>0</v>
      </c>
      <c r="Z149" s="103">
        <f t="shared" si="280"/>
        <v>0</v>
      </c>
      <c r="AA149" s="103"/>
      <c r="AB149" s="103"/>
      <c r="AC149" s="103"/>
      <c r="AD149" s="150"/>
    </row>
    <row r="150" spans="1:30" ht="15.75">
      <c r="A150" s="265"/>
      <c r="B150" s="80" t="s">
        <v>244</v>
      </c>
      <c r="C150" s="104" t="s">
        <v>84</v>
      </c>
      <c r="D150" s="132" t="str">
        <f>'Maset I'!C29</f>
        <v>Réduction directe du minerai</v>
      </c>
      <c r="E150" s="123" t="s">
        <v>84</v>
      </c>
      <c r="F150" s="112"/>
      <c r="G150" s="112" t="s">
        <v>293</v>
      </c>
      <c r="H150" s="105"/>
      <c r="I150" s="105" t="str">
        <f>$B$51</f>
        <v>M1 Métallurgie</v>
      </c>
      <c r="J150" s="104"/>
      <c r="K150" s="177"/>
      <c r="L150" s="123"/>
      <c r="M150" s="112"/>
      <c r="N150" s="112" t="s">
        <v>293</v>
      </c>
      <c r="O150" s="105"/>
      <c r="P150" s="105"/>
      <c r="Q150" s="104" t="s">
        <v>84</v>
      </c>
      <c r="R150" s="177" t="str">
        <f>'Maset I'!H29</f>
        <v>Technologie de fonderie</v>
      </c>
      <c r="S150" s="123" t="s">
        <v>84</v>
      </c>
      <c r="T150" s="112"/>
      <c r="U150" s="112"/>
      <c r="V150" s="105"/>
      <c r="W150" s="105" t="str">
        <f>$B$51</f>
        <v>M1 Métallurgie</v>
      </c>
      <c r="X150" s="151"/>
      <c r="Y150" s="132"/>
      <c r="Z150" s="152"/>
      <c r="AA150" s="106"/>
      <c r="AB150" s="106"/>
      <c r="AC150" s="106"/>
      <c r="AD150" s="153"/>
    </row>
    <row r="151" spans="1:30" ht="15" customHeight="1">
      <c r="A151" s="265"/>
      <c r="B151" s="271" t="s">
        <v>245</v>
      </c>
      <c r="C151" s="107" t="s">
        <v>54</v>
      </c>
      <c r="D151" s="133" t="str">
        <f>'Maset I'!C30</f>
        <v>Dynamique des structures avancée</v>
      </c>
      <c r="E151" s="126" t="s">
        <v>122</v>
      </c>
      <c r="F151" s="112"/>
      <c r="G151" s="112" t="s">
        <v>286</v>
      </c>
      <c r="H151" s="108"/>
      <c r="I151" s="108" t="str">
        <f>$B$52</f>
        <v>M1 Construction</v>
      </c>
      <c r="J151" s="107"/>
      <c r="K151" s="178"/>
      <c r="L151" s="126"/>
      <c r="M151" s="112"/>
      <c r="N151" s="112" t="s">
        <v>286</v>
      </c>
      <c r="O151" s="108"/>
      <c r="P151" s="108"/>
      <c r="Q151" s="107"/>
      <c r="R151" s="178"/>
      <c r="S151" s="126"/>
      <c r="T151" s="115"/>
      <c r="U151" s="115"/>
      <c r="V151" s="108"/>
      <c r="W151" s="108" t="str">
        <f>$B$52</f>
        <v>M1 Construction</v>
      </c>
      <c r="X151" s="154"/>
      <c r="Y151" s="133"/>
      <c r="Z151" s="155"/>
      <c r="AA151" s="109" t="s">
        <v>250</v>
      </c>
      <c r="AB151" s="109"/>
      <c r="AC151" s="109"/>
      <c r="AD151" s="156"/>
    </row>
    <row r="152" spans="1:30" ht="15" customHeight="1">
      <c r="A152" s="265"/>
      <c r="B152" s="271"/>
      <c r="C152" s="107" t="s">
        <v>47</v>
      </c>
      <c r="D152" s="133" t="str">
        <f>D151</f>
        <v>Dynamique des structures avancée</v>
      </c>
      <c r="E152" s="108" t="str">
        <f>E151</f>
        <v>M.N.Amrane</v>
      </c>
      <c r="F152" s="112"/>
      <c r="G152" s="112"/>
      <c r="H152" s="108"/>
      <c r="I152" s="108" t="str">
        <f t="shared" ref="I152:I154" si="281">$B$52</f>
        <v>M1 Construction</v>
      </c>
      <c r="J152" s="107"/>
      <c r="K152" s="178">
        <f>K151</f>
        <v>0</v>
      </c>
      <c r="L152" s="108">
        <f>L151</f>
        <v>0</v>
      </c>
      <c r="M152" s="112"/>
      <c r="N152" s="112"/>
      <c r="O152" s="108"/>
      <c r="P152" s="108"/>
      <c r="Q152" s="107"/>
      <c r="R152" s="178">
        <f>R151</f>
        <v>0</v>
      </c>
      <c r="S152" s="108">
        <f>S151</f>
        <v>0</v>
      </c>
      <c r="T152" s="117" t="s">
        <v>250</v>
      </c>
      <c r="U152" s="117"/>
      <c r="V152" s="108"/>
      <c r="W152" s="108" t="str">
        <f t="shared" ref="W152:W154" si="282">$B$52</f>
        <v>M1 Construction</v>
      </c>
      <c r="X152" s="154"/>
      <c r="Y152" s="133">
        <f>Y151</f>
        <v>0</v>
      </c>
      <c r="Z152" s="109">
        <f>Z151</f>
        <v>0</v>
      </c>
      <c r="AA152" s="109" t="s">
        <v>251</v>
      </c>
      <c r="AB152" s="109"/>
      <c r="AC152" s="109"/>
      <c r="AD152" s="156"/>
    </row>
    <row r="153" spans="1:30" ht="15" customHeight="1">
      <c r="A153" s="265"/>
      <c r="B153" s="271"/>
      <c r="C153" s="107" t="s">
        <v>51</v>
      </c>
      <c r="D153" s="133" t="str">
        <f t="shared" ref="D153:D154" si="283">D152</f>
        <v>Dynamique des structures avancée</v>
      </c>
      <c r="E153" s="108" t="str">
        <f t="shared" ref="E153:E154" si="284">E152</f>
        <v>M.N.Amrane</v>
      </c>
      <c r="F153" s="115"/>
      <c r="G153" s="115"/>
      <c r="H153" s="108"/>
      <c r="I153" s="108" t="str">
        <f t="shared" si="281"/>
        <v>M1 Construction</v>
      </c>
      <c r="J153" s="107"/>
      <c r="K153" s="178">
        <f t="shared" ref="K153:K154" si="285">K152</f>
        <v>0</v>
      </c>
      <c r="L153" s="108">
        <f t="shared" ref="L153:L154" si="286">L152</f>
        <v>0</v>
      </c>
      <c r="M153" s="115"/>
      <c r="N153" s="115"/>
      <c r="O153" s="108"/>
      <c r="P153" s="108"/>
      <c r="Q153" s="107"/>
      <c r="R153" s="178">
        <f t="shared" ref="R153:R154" si="287">R152</f>
        <v>0</v>
      </c>
      <c r="S153" s="108">
        <f t="shared" ref="S153:S154" si="288">S152</f>
        <v>0</v>
      </c>
      <c r="T153" s="117" t="s">
        <v>251</v>
      </c>
      <c r="U153" s="117"/>
      <c r="V153" s="108"/>
      <c r="W153" s="108" t="str">
        <f t="shared" si="282"/>
        <v>M1 Construction</v>
      </c>
      <c r="X153" s="154"/>
      <c r="Y153" s="133">
        <f t="shared" ref="Y153:Y154" si="289">Y152</f>
        <v>0</v>
      </c>
      <c r="Z153" s="109">
        <f t="shared" ref="Z153:Z154" si="290">Z152</f>
        <v>0</v>
      </c>
      <c r="AA153" s="109"/>
      <c r="AB153" s="109"/>
      <c r="AC153" s="109"/>
      <c r="AD153" s="156"/>
    </row>
    <row r="154" spans="1:30" ht="15" customHeight="1">
      <c r="A154" s="265"/>
      <c r="B154" s="271"/>
      <c r="C154" s="107" t="s">
        <v>122</v>
      </c>
      <c r="D154" s="133" t="str">
        <f t="shared" si="283"/>
        <v>Dynamique des structures avancée</v>
      </c>
      <c r="E154" s="108" t="str">
        <f t="shared" si="284"/>
        <v>M.N.Amrane</v>
      </c>
      <c r="F154" s="117"/>
      <c r="G154" s="117"/>
      <c r="H154" s="108"/>
      <c r="I154" s="108" t="str">
        <f t="shared" si="281"/>
        <v>M1 Construction</v>
      </c>
      <c r="J154" s="107"/>
      <c r="K154" s="178">
        <f t="shared" si="285"/>
        <v>0</v>
      </c>
      <c r="L154" s="108">
        <f t="shared" si="286"/>
        <v>0</v>
      </c>
      <c r="M154" s="117"/>
      <c r="N154" s="117"/>
      <c r="O154" s="108"/>
      <c r="P154" s="108"/>
      <c r="Q154" s="107"/>
      <c r="R154" s="178">
        <f t="shared" si="287"/>
        <v>0</v>
      </c>
      <c r="S154" s="108">
        <f t="shared" si="288"/>
        <v>0</v>
      </c>
      <c r="T154" s="116"/>
      <c r="U154" s="117"/>
      <c r="V154" s="108"/>
      <c r="W154" s="108" t="str">
        <f t="shared" si="282"/>
        <v>M1 Construction</v>
      </c>
      <c r="X154" s="154"/>
      <c r="Y154" s="133">
        <f t="shared" si="289"/>
        <v>0</v>
      </c>
      <c r="Z154" s="109">
        <f t="shared" si="290"/>
        <v>0</v>
      </c>
      <c r="AA154" s="109"/>
      <c r="AB154" s="109"/>
      <c r="AC154" s="109"/>
      <c r="AD154" s="156"/>
    </row>
    <row r="155" spans="1:30" ht="15" customHeight="1">
      <c r="A155" s="265"/>
      <c r="B155" s="272" t="s">
        <v>246</v>
      </c>
      <c r="C155" s="110" t="s">
        <v>130</v>
      </c>
      <c r="D155" s="134" t="str">
        <f>'Maset I'!C32</f>
        <v>Chauffage et climatisation</v>
      </c>
      <c r="E155" s="124" t="s">
        <v>100</v>
      </c>
      <c r="F155" s="117" t="s">
        <v>250</v>
      </c>
      <c r="G155" s="117" t="s">
        <v>289</v>
      </c>
      <c r="H155" s="111"/>
      <c r="I155" s="111" t="str">
        <f>$B$56</f>
        <v>M1 Energétique</v>
      </c>
      <c r="J155" s="110"/>
      <c r="K155" s="179"/>
      <c r="L155" s="124"/>
      <c r="M155" s="117" t="s">
        <v>250</v>
      </c>
      <c r="N155" s="117" t="s">
        <v>289</v>
      </c>
      <c r="O155" s="111"/>
      <c r="P155" s="111"/>
      <c r="Q155" s="110"/>
      <c r="R155" s="179"/>
      <c r="S155" s="124"/>
      <c r="T155" s="116"/>
      <c r="U155" s="117"/>
      <c r="V155" s="111"/>
      <c r="W155" s="111" t="str">
        <f>$B$56</f>
        <v>M1 Energétique</v>
      </c>
      <c r="X155" s="157"/>
      <c r="Y155" s="134"/>
      <c r="Z155" s="158"/>
      <c r="AA155" s="112" t="s">
        <v>250</v>
      </c>
      <c r="AB155" s="112"/>
      <c r="AC155" s="112"/>
      <c r="AD155" s="159"/>
    </row>
    <row r="156" spans="1:30" ht="15" customHeight="1">
      <c r="A156" s="265"/>
      <c r="B156" s="272"/>
      <c r="C156" s="110" t="s">
        <v>63</v>
      </c>
      <c r="D156" s="134" t="str">
        <f>D155</f>
        <v>Chauffage et climatisation</v>
      </c>
      <c r="E156" s="111" t="str">
        <f>E155</f>
        <v>N.Chouchane</v>
      </c>
      <c r="F156" s="116" t="s">
        <v>292</v>
      </c>
      <c r="G156" s="117" t="s">
        <v>290</v>
      </c>
      <c r="H156" s="111"/>
      <c r="I156" s="111" t="str">
        <f t="shared" ref="I156:I158" si="291">$B$56</f>
        <v>M1 Energétique</v>
      </c>
      <c r="J156" s="110"/>
      <c r="K156" s="179">
        <f>K155</f>
        <v>0</v>
      </c>
      <c r="L156" s="111">
        <f>L155</f>
        <v>0</v>
      </c>
      <c r="M156" s="116" t="s">
        <v>292</v>
      </c>
      <c r="N156" s="117" t="s">
        <v>290</v>
      </c>
      <c r="O156" s="111"/>
      <c r="P156" s="111"/>
      <c r="Q156" s="110"/>
      <c r="R156" s="179">
        <f>R155</f>
        <v>0</v>
      </c>
      <c r="S156" s="111">
        <f>S155</f>
        <v>0</v>
      </c>
      <c r="T156" s="119" t="s">
        <v>250</v>
      </c>
      <c r="U156" s="166"/>
      <c r="V156" s="111"/>
      <c r="W156" s="111" t="str">
        <f t="shared" ref="W156:W158" si="292">$B$56</f>
        <v>M1 Energétique</v>
      </c>
      <c r="X156" s="157"/>
      <c r="Y156" s="134">
        <f>Y155</f>
        <v>0</v>
      </c>
      <c r="Z156" s="112">
        <f>Z155</f>
        <v>0</v>
      </c>
      <c r="AA156" s="112" t="s">
        <v>251</v>
      </c>
      <c r="AB156" s="112"/>
      <c r="AC156" s="112"/>
      <c r="AD156" s="159"/>
    </row>
    <row r="157" spans="1:30" ht="15" customHeight="1">
      <c r="A157" s="265"/>
      <c r="B157" s="272"/>
      <c r="C157" s="110" t="s">
        <v>32</v>
      </c>
      <c r="D157" s="134" t="str">
        <f t="shared" ref="D157:D158" si="293">D156</f>
        <v>Chauffage et climatisation</v>
      </c>
      <c r="E157" s="111" t="str">
        <f t="shared" ref="E157:E158" si="294">E156</f>
        <v>N.Chouchane</v>
      </c>
      <c r="F157" s="116"/>
      <c r="G157" s="117"/>
      <c r="H157" s="111"/>
      <c r="I157" s="111" t="str">
        <f t="shared" si="291"/>
        <v>M1 Energétique</v>
      </c>
      <c r="J157" s="110"/>
      <c r="K157" s="179">
        <f t="shared" ref="K157:K158" si="295">K156</f>
        <v>0</v>
      </c>
      <c r="L157" s="111">
        <f t="shared" ref="L157:L158" si="296">L156</f>
        <v>0</v>
      </c>
      <c r="M157" s="116"/>
      <c r="N157" s="117"/>
      <c r="O157" s="111"/>
      <c r="P157" s="111"/>
      <c r="Q157" s="110"/>
      <c r="R157" s="179">
        <f t="shared" ref="R157:R158" si="297">R156</f>
        <v>0</v>
      </c>
      <c r="S157" s="111">
        <f t="shared" ref="S157:S158" si="298">S156</f>
        <v>0</v>
      </c>
      <c r="T157" s="119" t="s">
        <v>251</v>
      </c>
      <c r="U157" s="166"/>
      <c r="V157" s="111"/>
      <c r="W157" s="111" t="str">
        <f t="shared" si="292"/>
        <v>M1 Energétique</v>
      </c>
      <c r="X157" s="157"/>
      <c r="Y157" s="134">
        <f t="shared" ref="Y157:Y158" si="299">Y156</f>
        <v>0</v>
      </c>
      <c r="Z157" s="112">
        <f t="shared" ref="Z157:Z158" si="300">Z156</f>
        <v>0</v>
      </c>
      <c r="AA157" s="112"/>
      <c r="AB157" s="112"/>
      <c r="AC157" s="112"/>
      <c r="AD157" s="159"/>
    </row>
    <row r="158" spans="1:30" ht="15" customHeight="1">
      <c r="A158" s="265"/>
      <c r="B158" s="272"/>
      <c r="C158" s="110" t="s">
        <v>100</v>
      </c>
      <c r="D158" s="134" t="str">
        <f t="shared" si="293"/>
        <v>Chauffage et climatisation</v>
      </c>
      <c r="E158" s="111" t="str">
        <f t="shared" si="294"/>
        <v>N.Chouchane</v>
      </c>
      <c r="F158" s="119"/>
      <c r="G158" s="166"/>
      <c r="H158" s="111"/>
      <c r="I158" s="111" t="str">
        <f t="shared" si="291"/>
        <v>M1 Energétique</v>
      </c>
      <c r="J158" s="110"/>
      <c r="K158" s="179">
        <f t="shared" si="295"/>
        <v>0</v>
      </c>
      <c r="L158" s="111">
        <f t="shared" si="296"/>
        <v>0</v>
      </c>
      <c r="M158" s="119"/>
      <c r="N158" s="166"/>
      <c r="O158" s="111"/>
      <c r="P158" s="111"/>
      <c r="Q158" s="110"/>
      <c r="R158" s="179">
        <f t="shared" si="297"/>
        <v>0</v>
      </c>
      <c r="S158" s="111">
        <f t="shared" si="298"/>
        <v>0</v>
      </c>
      <c r="T158" s="119"/>
      <c r="U158" s="166"/>
      <c r="V158" s="111"/>
      <c r="W158" s="111" t="str">
        <f t="shared" si="292"/>
        <v>M1 Energétique</v>
      </c>
      <c r="X158" s="157"/>
      <c r="Y158" s="134">
        <f t="shared" si="299"/>
        <v>0</v>
      </c>
      <c r="Z158" s="112">
        <f t="shared" si="300"/>
        <v>0</v>
      </c>
      <c r="AA158" s="112"/>
      <c r="AB158" s="112"/>
      <c r="AC158" s="112"/>
      <c r="AD158" s="159"/>
    </row>
    <row r="159" spans="1:30" ht="16.5" thickBot="1">
      <c r="A159" s="265"/>
      <c r="B159" s="81" t="s">
        <v>247</v>
      </c>
      <c r="C159" s="113"/>
      <c r="D159" s="135"/>
      <c r="E159" s="122"/>
      <c r="F159" s="119"/>
      <c r="G159" s="166"/>
      <c r="H159" s="114"/>
      <c r="I159" s="114"/>
      <c r="J159" s="113"/>
      <c r="K159" s="180"/>
      <c r="L159" s="122"/>
      <c r="M159" s="119"/>
      <c r="N159" s="166"/>
      <c r="O159" s="114"/>
      <c r="P159" s="114"/>
      <c r="Q159" s="113"/>
      <c r="R159" s="180"/>
      <c r="S159" s="122"/>
      <c r="T159" s="121"/>
      <c r="U159" s="169"/>
      <c r="V159" s="114"/>
      <c r="W159" s="114"/>
      <c r="X159" s="160"/>
      <c r="Y159" s="135"/>
      <c r="Z159" s="161"/>
      <c r="AA159" s="115"/>
      <c r="AB159" s="115"/>
      <c r="AC159" s="115"/>
      <c r="AD159" s="162"/>
    </row>
    <row r="160" spans="1:30" ht="15" customHeight="1">
      <c r="A160" s="265"/>
      <c r="B160" s="268" t="s">
        <v>248</v>
      </c>
      <c r="C160" s="93"/>
      <c r="D160" s="136"/>
      <c r="E160" s="92"/>
      <c r="F160" s="119"/>
      <c r="G160" s="166"/>
      <c r="H160" s="116"/>
      <c r="I160" s="116"/>
      <c r="J160" s="93"/>
      <c r="K160" s="181"/>
      <c r="L160" s="92"/>
      <c r="M160" s="119"/>
      <c r="N160" s="166"/>
      <c r="O160" s="116"/>
      <c r="P160" s="116"/>
      <c r="Q160" s="93"/>
      <c r="R160" s="181"/>
      <c r="S160" s="92"/>
      <c r="T160" s="117" t="s">
        <v>250</v>
      </c>
      <c r="U160" s="117"/>
      <c r="V160" s="116"/>
      <c r="W160" s="116"/>
      <c r="X160" s="143"/>
      <c r="Y160" s="136"/>
      <c r="Z160" s="87"/>
      <c r="AA160" s="117" t="s">
        <v>250</v>
      </c>
      <c r="AB160" s="117"/>
      <c r="AC160" s="117"/>
      <c r="AD160" s="163"/>
    </row>
    <row r="161" spans="1:30" ht="15" customHeight="1" thickBot="1">
      <c r="A161" s="265"/>
      <c r="B161" s="268"/>
      <c r="C161" s="93"/>
      <c r="D161" s="136">
        <f>D160</f>
        <v>0</v>
      </c>
      <c r="E161" s="116">
        <f>E160</f>
        <v>0</v>
      </c>
      <c r="F161" s="121"/>
      <c r="G161" s="169"/>
      <c r="H161" s="116"/>
      <c r="I161" s="116"/>
      <c r="J161" s="93"/>
      <c r="K161" s="181">
        <f>K160</f>
        <v>0</v>
      </c>
      <c r="L161" s="116">
        <f>L160</f>
        <v>0</v>
      </c>
      <c r="M161" s="121"/>
      <c r="N161" s="169"/>
      <c r="O161" s="116"/>
      <c r="P161" s="116"/>
      <c r="Q161" s="93"/>
      <c r="R161" s="181">
        <f>R160</f>
        <v>0</v>
      </c>
      <c r="S161" s="116">
        <f>S160</f>
        <v>0</v>
      </c>
      <c r="T161" s="117" t="s">
        <v>251</v>
      </c>
      <c r="U161" s="117"/>
      <c r="V161" s="116"/>
      <c r="W161" s="116"/>
      <c r="X161" s="143"/>
      <c r="Y161" s="136">
        <f>Y160</f>
        <v>0</v>
      </c>
      <c r="Z161" s="117">
        <f>Z160</f>
        <v>0</v>
      </c>
      <c r="AA161" s="117" t="s">
        <v>251</v>
      </c>
      <c r="AB161" s="117"/>
      <c r="AC161" s="117"/>
      <c r="AD161" s="163"/>
    </row>
    <row r="162" spans="1:30" ht="15" customHeight="1">
      <c r="A162" s="265"/>
      <c r="B162" s="268"/>
      <c r="C162" s="93"/>
      <c r="D162" s="136">
        <f t="shared" ref="D162:D163" si="301">D161</f>
        <v>0</v>
      </c>
      <c r="E162" s="116">
        <f t="shared" ref="E162:E163" si="302">E161</f>
        <v>0</v>
      </c>
      <c r="F162" s="90"/>
      <c r="G162" s="89"/>
      <c r="H162" s="116"/>
      <c r="I162" s="116"/>
      <c r="J162" s="93"/>
      <c r="K162" s="181">
        <f t="shared" ref="K162:K163" si="303">K161</f>
        <v>0</v>
      </c>
      <c r="L162" s="116">
        <f t="shared" ref="L162:L163" si="304">L161</f>
        <v>0</v>
      </c>
      <c r="M162" s="90"/>
      <c r="N162" s="89"/>
      <c r="O162" s="116"/>
      <c r="P162" s="116"/>
      <c r="Q162" s="93"/>
      <c r="R162" s="181">
        <f t="shared" ref="R162:R163" si="305">R161</f>
        <v>0</v>
      </c>
      <c r="S162" s="116">
        <f t="shared" ref="S162:S163" si="306">S161</f>
        <v>0</v>
      </c>
      <c r="T162" s="116"/>
      <c r="U162" s="117"/>
      <c r="V162" s="116"/>
      <c r="W162" s="116"/>
      <c r="X162" s="143"/>
      <c r="Y162" s="136">
        <f t="shared" ref="Y162:Y163" si="307">Y161</f>
        <v>0</v>
      </c>
      <c r="Z162" s="117">
        <f t="shared" ref="Z162:Z163" si="308">Z161</f>
        <v>0</v>
      </c>
      <c r="AA162" s="117"/>
      <c r="AB162" s="117"/>
      <c r="AC162" s="117"/>
      <c r="AD162" s="163"/>
    </row>
    <row r="163" spans="1:30" ht="15" customHeight="1">
      <c r="A163" s="265"/>
      <c r="B163" s="268"/>
      <c r="C163" s="93"/>
      <c r="D163" s="136">
        <f t="shared" si="301"/>
        <v>0</v>
      </c>
      <c r="E163" s="116">
        <f t="shared" si="302"/>
        <v>0</v>
      </c>
      <c r="F163" s="87" t="s">
        <v>250</v>
      </c>
      <c r="G163" s="92"/>
      <c r="H163" s="116"/>
      <c r="I163" s="116"/>
      <c r="J163" s="93"/>
      <c r="K163" s="181">
        <f t="shared" si="303"/>
        <v>0</v>
      </c>
      <c r="L163" s="116">
        <f t="shared" si="304"/>
        <v>0</v>
      </c>
      <c r="M163" s="87" t="s">
        <v>250</v>
      </c>
      <c r="N163" s="92"/>
      <c r="O163" s="116"/>
      <c r="P163" s="116"/>
      <c r="Q163" s="93"/>
      <c r="R163" s="181">
        <f t="shared" si="305"/>
        <v>0</v>
      </c>
      <c r="S163" s="116">
        <f t="shared" si="306"/>
        <v>0</v>
      </c>
      <c r="T163" s="116"/>
      <c r="U163" s="117"/>
      <c r="V163" s="116"/>
      <c r="W163" s="116"/>
      <c r="X163" s="143"/>
      <c r="Y163" s="136">
        <f t="shared" si="307"/>
        <v>0</v>
      </c>
      <c r="Z163" s="117">
        <f t="shared" si="308"/>
        <v>0</v>
      </c>
      <c r="AA163" s="117"/>
      <c r="AB163" s="117"/>
      <c r="AC163" s="117"/>
      <c r="AD163" s="163"/>
    </row>
    <row r="164" spans="1:30" ht="15" customHeight="1">
      <c r="A164" s="265"/>
      <c r="B164" s="273" t="s">
        <v>249</v>
      </c>
      <c r="C164" s="118"/>
      <c r="D164" s="137"/>
      <c r="E164" s="125"/>
      <c r="F164" s="87" t="s">
        <v>251</v>
      </c>
      <c r="G164" s="92"/>
      <c r="H164" s="119"/>
      <c r="I164" s="119"/>
      <c r="J164" s="118"/>
      <c r="K164" s="182"/>
      <c r="L164" s="125"/>
      <c r="M164" s="87" t="s">
        <v>251</v>
      </c>
      <c r="N164" s="92"/>
      <c r="O164" s="119"/>
      <c r="P164" s="119"/>
      <c r="Q164" s="118"/>
      <c r="R164" s="182"/>
      <c r="S164" s="125"/>
      <c r="T164" s="119" t="s">
        <v>250</v>
      </c>
      <c r="U164" s="166"/>
      <c r="V164" s="119"/>
      <c r="W164" s="119"/>
      <c r="X164" s="164"/>
      <c r="Y164" s="137"/>
      <c r="Z164" s="165"/>
      <c r="AA164" s="166" t="s">
        <v>250</v>
      </c>
      <c r="AB164" s="166"/>
      <c r="AC164" s="166"/>
      <c r="AD164" s="167"/>
    </row>
    <row r="165" spans="1:30" ht="15" customHeight="1">
      <c r="A165" s="265"/>
      <c r="B165" s="273"/>
      <c r="C165" s="118"/>
      <c r="D165" s="137">
        <f>D164</f>
        <v>0</v>
      </c>
      <c r="E165" s="119">
        <f>E164</f>
        <v>0</v>
      </c>
      <c r="F165" s="87" t="s">
        <v>252</v>
      </c>
      <c r="G165" s="92"/>
      <c r="H165" s="119"/>
      <c r="I165" s="119"/>
      <c r="J165" s="118"/>
      <c r="K165" s="182">
        <f>K164</f>
        <v>0</v>
      </c>
      <c r="L165" s="119">
        <f>L164</f>
        <v>0</v>
      </c>
      <c r="M165" s="87" t="s">
        <v>252</v>
      </c>
      <c r="N165" s="92"/>
      <c r="O165" s="119"/>
      <c r="P165" s="119"/>
      <c r="Q165" s="118"/>
      <c r="R165" s="182">
        <f>R164</f>
        <v>0</v>
      </c>
      <c r="S165" s="119">
        <f>S164</f>
        <v>0</v>
      </c>
      <c r="T165" s="119" t="s">
        <v>251</v>
      </c>
      <c r="U165" s="166"/>
      <c r="V165" s="119"/>
      <c r="W165" s="119"/>
      <c r="X165" s="164"/>
      <c r="Y165" s="137">
        <f>Y164</f>
        <v>0</v>
      </c>
      <c r="Z165" s="166">
        <f>Z164</f>
        <v>0</v>
      </c>
      <c r="AA165" s="166" t="s">
        <v>251</v>
      </c>
      <c r="AB165" s="166"/>
      <c r="AC165" s="166"/>
      <c r="AD165" s="167"/>
    </row>
    <row r="166" spans="1:30" ht="15" customHeight="1">
      <c r="A166" s="265"/>
      <c r="B166" s="273"/>
      <c r="C166" s="118"/>
      <c r="D166" s="137">
        <f t="shared" ref="D166:D167" si="309">D165</f>
        <v>0</v>
      </c>
      <c r="E166" s="119">
        <f t="shared" ref="E166:E167" si="310">E165</f>
        <v>0</v>
      </c>
      <c r="F166" s="87"/>
      <c r="G166" s="92"/>
      <c r="H166" s="119"/>
      <c r="I166" s="119"/>
      <c r="J166" s="118"/>
      <c r="K166" s="182">
        <f t="shared" ref="K166:K167" si="311">K165</f>
        <v>0</v>
      </c>
      <c r="L166" s="119">
        <f t="shared" ref="L166:L167" si="312">L165</f>
        <v>0</v>
      </c>
      <c r="M166" s="87"/>
      <c r="N166" s="92"/>
      <c r="O166" s="119"/>
      <c r="P166" s="119"/>
      <c r="Q166" s="118"/>
      <c r="R166" s="182">
        <f t="shared" ref="R166:R167" si="313">R165</f>
        <v>0</v>
      </c>
      <c r="S166" s="119">
        <f t="shared" ref="S166:S167" si="314">S165</f>
        <v>0</v>
      </c>
      <c r="T166" s="119"/>
      <c r="U166" s="166"/>
      <c r="V166" s="119"/>
      <c r="W166" s="119"/>
      <c r="X166" s="164"/>
      <c r="Y166" s="137">
        <f t="shared" ref="Y166:Y167" si="315">Y165</f>
        <v>0</v>
      </c>
      <c r="Z166" s="166">
        <f t="shared" ref="Z166:Z167" si="316">Z165</f>
        <v>0</v>
      </c>
      <c r="AA166" s="166"/>
      <c r="AB166" s="166"/>
      <c r="AC166" s="166"/>
      <c r="AD166" s="167"/>
    </row>
    <row r="167" spans="1:30" ht="15.75" customHeight="1" thickBot="1">
      <c r="A167" s="266"/>
      <c r="B167" s="274"/>
      <c r="C167" s="120"/>
      <c r="D167" s="138">
        <f t="shared" si="309"/>
        <v>0</v>
      </c>
      <c r="E167" s="121">
        <f t="shared" si="310"/>
        <v>0</v>
      </c>
      <c r="F167" s="87"/>
      <c r="G167" s="92"/>
      <c r="H167" s="121"/>
      <c r="I167" s="121"/>
      <c r="J167" s="120"/>
      <c r="K167" s="183">
        <f t="shared" si="311"/>
        <v>0</v>
      </c>
      <c r="L167" s="121">
        <f t="shared" si="312"/>
        <v>0</v>
      </c>
      <c r="M167" s="87"/>
      <c r="N167" s="92"/>
      <c r="O167" s="121"/>
      <c r="P167" s="121"/>
      <c r="Q167" s="120"/>
      <c r="R167" s="183">
        <f t="shared" si="313"/>
        <v>0</v>
      </c>
      <c r="S167" s="121">
        <f t="shared" si="314"/>
        <v>0</v>
      </c>
      <c r="T167" s="121"/>
      <c r="U167" s="169"/>
      <c r="V167" s="121"/>
      <c r="W167" s="121"/>
      <c r="X167" s="168"/>
      <c r="Y167" s="138">
        <f t="shared" si="315"/>
        <v>0</v>
      </c>
      <c r="Z167" s="169">
        <f t="shared" si="316"/>
        <v>0</v>
      </c>
      <c r="AA167" s="169"/>
      <c r="AB167" s="169"/>
      <c r="AC167" s="169"/>
      <c r="AD167" s="170"/>
    </row>
    <row r="168" spans="1:30" ht="16.5" thickBot="1">
      <c r="A168" s="264" t="s">
        <v>267</v>
      </c>
      <c r="B168" s="86" t="s">
        <v>239</v>
      </c>
      <c r="C168" s="88"/>
      <c r="D168" s="127"/>
      <c r="E168" s="89"/>
      <c r="F168" s="97"/>
      <c r="G168" s="97" t="s">
        <v>291</v>
      </c>
      <c r="H168" s="89"/>
      <c r="I168" s="89"/>
      <c r="J168" s="88" t="s">
        <v>277</v>
      </c>
      <c r="K168" s="172" t="str">
        <f>'2 Licence'!C29</f>
        <v>Minéralogie et cristallographie</v>
      </c>
      <c r="L168" s="89" t="s">
        <v>277</v>
      </c>
      <c r="M168" s="97"/>
      <c r="N168" s="97" t="s">
        <v>286</v>
      </c>
      <c r="O168" s="89"/>
      <c r="P168" s="90" t="s">
        <v>262</v>
      </c>
      <c r="Q168" s="88"/>
      <c r="R168" s="172"/>
      <c r="S168" s="89"/>
      <c r="T168" s="100" t="s">
        <v>251</v>
      </c>
      <c r="U168" s="100" t="s">
        <v>284</v>
      </c>
      <c r="V168" s="89"/>
      <c r="W168" s="89"/>
      <c r="X168" s="139"/>
      <c r="Y168" s="127"/>
      <c r="Z168" s="90"/>
      <c r="AA168" s="90"/>
      <c r="AB168" s="90"/>
      <c r="AC168" s="90"/>
      <c r="AD168" s="140"/>
    </row>
    <row r="169" spans="1:30" ht="15" customHeight="1">
      <c r="A169" s="265"/>
      <c r="B169" s="267" t="s">
        <v>240</v>
      </c>
      <c r="C169" s="91"/>
      <c r="D169" s="128"/>
      <c r="E169" s="92"/>
      <c r="F169" s="100"/>
      <c r="G169" s="100"/>
      <c r="H169" s="92"/>
      <c r="I169" s="92"/>
      <c r="J169" s="91" t="s">
        <v>78</v>
      </c>
      <c r="K169" s="173" t="str">
        <f>'2 Licence'!C30</f>
        <v>Thermodynamique 2</v>
      </c>
      <c r="L169" s="92" t="s">
        <v>32</v>
      </c>
      <c r="M169" s="100"/>
      <c r="N169" s="100" t="s">
        <v>287</v>
      </c>
      <c r="O169" s="92"/>
      <c r="P169" s="87" t="s">
        <v>263</v>
      </c>
      <c r="Q169" s="91"/>
      <c r="R169" s="173"/>
      <c r="S169" s="92"/>
      <c r="T169" s="100"/>
      <c r="U169" s="100" t="s">
        <v>284</v>
      </c>
      <c r="V169" s="92"/>
      <c r="W169" s="92"/>
      <c r="X169" s="141"/>
      <c r="Y169" s="128"/>
      <c r="Z169" s="87"/>
      <c r="AA169" s="87" t="s">
        <v>250</v>
      </c>
      <c r="AB169" s="87"/>
      <c r="AC169" s="87"/>
      <c r="AD169" s="142"/>
    </row>
    <row r="170" spans="1:30" ht="15" customHeight="1">
      <c r="A170" s="265"/>
      <c r="B170" s="268"/>
      <c r="C170" s="93"/>
      <c r="D170" s="128">
        <f>D169</f>
        <v>0</v>
      </c>
      <c r="E170" s="92">
        <f>E169</f>
        <v>0</v>
      </c>
      <c r="F170" s="100"/>
      <c r="G170" s="100"/>
      <c r="H170" s="92"/>
      <c r="I170" s="92"/>
      <c r="J170" s="93" t="s">
        <v>67</v>
      </c>
      <c r="K170" s="173" t="str">
        <f>K169</f>
        <v>Thermodynamique 2</v>
      </c>
      <c r="L170" s="92" t="str">
        <f>L169</f>
        <v>Y.Djebloune</v>
      </c>
      <c r="M170" s="100"/>
      <c r="N170" s="100" t="s">
        <v>289</v>
      </c>
      <c r="O170" s="92"/>
      <c r="P170" s="87" t="s">
        <v>263</v>
      </c>
      <c r="Q170" s="93"/>
      <c r="R170" s="173">
        <f>R169</f>
        <v>0</v>
      </c>
      <c r="S170" s="92">
        <f>S169</f>
        <v>0</v>
      </c>
      <c r="T170" s="100"/>
      <c r="U170" s="100"/>
      <c r="V170" s="92"/>
      <c r="W170" s="92"/>
      <c r="X170" s="143"/>
      <c r="Y170" s="128">
        <f>Y169</f>
        <v>0</v>
      </c>
      <c r="Z170" s="87">
        <f>Z169</f>
        <v>0</v>
      </c>
      <c r="AA170" s="87" t="s">
        <v>251</v>
      </c>
      <c r="AB170" s="87"/>
      <c r="AC170" s="87"/>
      <c r="AD170" s="142"/>
    </row>
    <row r="171" spans="1:30" ht="15" customHeight="1">
      <c r="A171" s="265"/>
      <c r="B171" s="268"/>
      <c r="C171" s="93"/>
      <c r="D171" s="128">
        <f t="shared" ref="D171:D173" si="317">D170</f>
        <v>0</v>
      </c>
      <c r="E171" s="92">
        <f t="shared" ref="E171:E173" si="318">E170</f>
        <v>0</v>
      </c>
      <c r="F171" s="100"/>
      <c r="G171" s="100"/>
      <c r="H171" s="92"/>
      <c r="I171" s="92"/>
      <c r="J171" s="93" t="s">
        <v>275</v>
      </c>
      <c r="K171" s="173" t="str">
        <f t="shared" ref="K171:K173" si="319">K170</f>
        <v>Thermodynamique 2</v>
      </c>
      <c r="L171" s="92" t="str">
        <f t="shared" ref="L171:L173" si="320">L170</f>
        <v>Y.Djebloune</v>
      </c>
      <c r="M171" s="100"/>
      <c r="N171" s="100" t="s">
        <v>290</v>
      </c>
      <c r="O171" s="92"/>
      <c r="P171" s="87" t="s">
        <v>263</v>
      </c>
      <c r="Q171" s="93"/>
      <c r="R171" s="173">
        <f t="shared" ref="R171:R173" si="321">R170</f>
        <v>0</v>
      </c>
      <c r="S171" s="92">
        <f t="shared" ref="S171:S173" si="322">S170</f>
        <v>0</v>
      </c>
      <c r="T171" s="103" t="s">
        <v>250</v>
      </c>
      <c r="U171" s="103" t="s">
        <v>285</v>
      </c>
      <c r="V171" s="92"/>
      <c r="W171" s="92"/>
      <c r="X171" s="143"/>
      <c r="Y171" s="128">
        <f t="shared" ref="Y171:Y173" si="323">Y170</f>
        <v>0</v>
      </c>
      <c r="Z171" s="87">
        <f t="shared" ref="Z171:Z173" si="324">Z170</f>
        <v>0</v>
      </c>
      <c r="AA171" s="87" t="s">
        <v>252</v>
      </c>
      <c r="AB171" s="87"/>
      <c r="AC171" s="87"/>
      <c r="AD171" s="142"/>
    </row>
    <row r="172" spans="1:30" ht="15" customHeight="1">
      <c r="A172" s="265"/>
      <c r="B172" s="268"/>
      <c r="C172" s="93"/>
      <c r="D172" s="128">
        <f t="shared" si="317"/>
        <v>0</v>
      </c>
      <c r="E172" s="92">
        <f t="shared" si="318"/>
        <v>0</v>
      </c>
      <c r="F172" s="100"/>
      <c r="G172" s="100"/>
      <c r="H172" s="92"/>
      <c r="I172" s="92"/>
      <c r="J172" s="93" t="s">
        <v>57</v>
      </c>
      <c r="K172" s="173" t="str">
        <f t="shared" si="319"/>
        <v>Thermodynamique 2</v>
      </c>
      <c r="L172" s="92" t="str">
        <f t="shared" si="320"/>
        <v>Y.Djebloune</v>
      </c>
      <c r="M172" s="100"/>
      <c r="N172" s="100" t="s">
        <v>291</v>
      </c>
      <c r="O172" s="92"/>
      <c r="P172" s="87" t="s">
        <v>263</v>
      </c>
      <c r="Q172" s="93"/>
      <c r="R172" s="173">
        <f t="shared" si="321"/>
        <v>0</v>
      </c>
      <c r="S172" s="92">
        <f t="shared" si="322"/>
        <v>0</v>
      </c>
      <c r="T172" s="103"/>
      <c r="U172" s="103" t="s">
        <v>285</v>
      </c>
      <c r="V172" s="92"/>
      <c r="W172" s="92"/>
      <c r="X172" s="143"/>
      <c r="Y172" s="128">
        <f t="shared" si="323"/>
        <v>0</v>
      </c>
      <c r="Z172" s="87">
        <f t="shared" si="324"/>
        <v>0</v>
      </c>
      <c r="AA172" s="87"/>
      <c r="AB172" s="87"/>
      <c r="AC172" s="87"/>
      <c r="AD172" s="142"/>
    </row>
    <row r="173" spans="1:30" ht="15" customHeight="1">
      <c r="A173" s="265"/>
      <c r="B173" s="268"/>
      <c r="C173" s="94"/>
      <c r="D173" s="128">
        <f t="shared" si="317"/>
        <v>0</v>
      </c>
      <c r="E173" s="92">
        <f t="shared" si="318"/>
        <v>0</v>
      </c>
      <c r="F173" s="103"/>
      <c r="G173" s="103"/>
      <c r="H173" s="92"/>
      <c r="I173" s="92"/>
      <c r="J173" s="94" t="s">
        <v>32</v>
      </c>
      <c r="K173" s="173" t="str">
        <f t="shared" si="319"/>
        <v>Thermodynamique 2</v>
      </c>
      <c r="L173" s="92" t="str">
        <f t="shared" si="320"/>
        <v>Y.Djebloune</v>
      </c>
      <c r="M173" s="103"/>
      <c r="N173" s="103"/>
      <c r="O173" s="92"/>
      <c r="P173" s="87" t="s">
        <v>263</v>
      </c>
      <c r="Q173" s="94"/>
      <c r="R173" s="173">
        <f t="shared" si="321"/>
        <v>0</v>
      </c>
      <c r="S173" s="92">
        <f t="shared" si="322"/>
        <v>0</v>
      </c>
      <c r="T173" s="103"/>
      <c r="U173" s="103" t="s">
        <v>285</v>
      </c>
      <c r="V173" s="92"/>
      <c r="W173" s="92"/>
      <c r="X173" s="144"/>
      <c r="Y173" s="128">
        <f t="shared" si="323"/>
        <v>0</v>
      </c>
      <c r="Z173" s="87">
        <f t="shared" si="324"/>
        <v>0</v>
      </c>
      <c r="AA173" s="87"/>
      <c r="AB173" s="87"/>
      <c r="AC173" s="87"/>
      <c r="AD173" s="142"/>
    </row>
    <row r="174" spans="1:30" ht="15.75">
      <c r="A174" s="265"/>
      <c r="B174" s="79" t="s">
        <v>241</v>
      </c>
      <c r="C174" s="95" t="s">
        <v>78</v>
      </c>
      <c r="D174" s="129" t="str">
        <f>'3 Licence'!C34</f>
        <v>Corrosion et protection des métaux</v>
      </c>
      <c r="E174" s="96" t="s">
        <v>78</v>
      </c>
      <c r="F174" s="103"/>
      <c r="G174" s="103" t="s">
        <v>287</v>
      </c>
      <c r="H174" s="96"/>
      <c r="I174" s="96" t="str">
        <f>$B$42</f>
        <v>L3 Métallurgie</v>
      </c>
      <c r="J174" s="95"/>
      <c r="K174" s="174"/>
      <c r="L174" s="96"/>
      <c r="M174" s="103"/>
      <c r="N174" s="103"/>
      <c r="O174" s="96"/>
      <c r="P174" s="96"/>
      <c r="Q174" s="95"/>
      <c r="R174" s="174"/>
      <c r="S174" s="96"/>
      <c r="T174" s="103"/>
      <c r="U174" s="103"/>
      <c r="V174" s="96"/>
      <c r="W174" s="96" t="str">
        <f>$B$42</f>
        <v>L3 Métallurgie</v>
      </c>
      <c r="X174" s="145"/>
      <c r="Y174" s="129"/>
      <c r="Z174" s="97"/>
      <c r="AA174" s="97"/>
      <c r="AB174" s="97"/>
      <c r="AC174" s="97"/>
      <c r="AD174" s="146"/>
    </row>
    <row r="175" spans="1:30" ht="15" customHeight="1">
      <c r="A175" s="265"/>
      <c r="B175" s="269" t="s">
        <v>242</v>
      </c>
      <c r="C175" s="98" t="s">
        <v>96</v>
      </c>
      <c r="D175" s="130" t="str">
        <f>'3 Licence'!C35</f>
        <v>Moteur à combustion interne</v>
      </c>
      <c r="E175" s="99" t="s">
        <v>87</v>
      </c>
      <c r="F175" s="103" t="s">
        <v>250</v>
      </c>
      <c r="G175" s="103" t="s">
        <v>284</v>
      </c>
      <c r="H175" s="99"/>
      <c r="I175" s="99" t="str">
        <f>$B$43</f>
        <v>L3 Construction</v>
      </c>
      <c r="J175" s="98"/>
      <c r="K175" s="175"/>
      <c r="L175" s="99"/>
      <c r="M175" s="103" t="s">
        <v>250</v>
      </c>
      <c r="N175" s="103"/>
      <c r="O175" s="99"/>
      <c r="P175" s="99"/>
      <c r="Q175" s="98"/>
      <c r="R175" s="175"/>
      <c r="S175" s="99"/>
      <c r="T175" s="106"/>
      <c r="U175" s="106" t="s">
        <v>288</v>
      </c>
      <c r="V175" s="99"/>
      <c r="W175" s="99" t="str">
        <f>$B$43</f>
        <v>L3 Construction</v>
      </c>
      <c r="X175" s="147"/>
      <c r="Y175" s="130"/>
      <c r="Z175" s="100"/>
      <c r="AA175" s="100" t="s">
        <v>250</v>
      </c>
      <c r="AB175" s="100"/>
      <c r="AC175" s="100"/>
      <c r="AD175" s="148"/>
    </row>
    <row r="176" spans="1:30" ht="15" customHeight="1">
      <c r="A176" s="265"/>
      <c r="B176" s="269"/>
      <c r="C176" s="98" t="s">
        <v>57</v>
      </c>
      <c r="D176" s="130" t="str">
        <f>D175</f>
        <v>Moteur à combustion interne</v>
      </c>
      <c r="E176" s="99" t="str">
        <f>E175</f>
        <v>A.Benarfaoui</v>
      </c>
      <c r="F176" s="103" t="s">
        <v>250</v>
      </c>
      <c r="G176" s="103" t="s">
        <v>284</v>
      </c>
      <c r="H176" s="99"/>
      <c r="I176" s="99" t="str">
        <f t="shared" ref="I176:I178" si="325">$B$43</f>
        <v>L3 Construction</v>
      </c>
      <c r="J176" s="98"/>
      <c r="K176" s="175">
        <f>K175</f>
        <v>0</v>
      </c>
      <c r="L176" s="99">
        <f>L175</f>
        <v>0</v>
      </c>
      <c r="M176" s="103" t="s">
        <v>250</v>
      </c>
      <c r="N176" s="103"/>
      <c r="O176" s="99"/>
      <c r="P176" s="99"/>
      <c r="Q176" s="98"/>
      <c r="R176" s="175">
        <f>R175</f>
        <v>0</v>
      </c>
      <c r="S176" s="99">
        <f>S175</f>
        <v>0</v>
      </c>
      <c r="T176" s="109" t="s">
        <v>250</v>
      </c>
      <c r="U176" s="109" t="s">
        <v>286</v>
      </c>
      <c r="V176" s="99"/>
      <c r="W176" s="99" t="str">
        <f t="shared" ref="W176:W178" si="326">$B$43</f>
        <v>L3 Construction</v>
      </c>
      <c r="X176" s="147"/>
      <c r="Y176" s="130">
        <f>Y175</f>
        <v>0</v>
      </c>
      <c r="Z176" s="100">
        <f>Z175</f>
        <v>0</v>
      </c>
      <c r="AA176" s="100" t="s">
        <v>251</v>
      </c>
      <c r="AB176" s="100"/>
      <c r="AC176" s="100"/>
      <c r="AD176" s="148"/>
    </row>
    <row r="177" spans="1:30" ht="15" customHeight="1">
      <c r="A177" s="265"/>
      <c r="B177" s="269"/>
      <c r="C177" s="98" t="s">
        <v>54</v>
      </c>
      <c r="D177" s="130" t="str">
        <f t="shared" ref="D177:D178" si="327">D176</f>
        <v>Moteur à combustion interne</v>
      </c>
      <c r="E177" s="99" t="str">
        <f t="shared" ref="E177:E178" si="328">E176</f>
        <v>A.Benarfaoui</v>
      </c>
      <c r="F177" s="106"/>
      <c r="G177" s="106"/>
      <c r="H177" s="99"/>
      <c r="I177" s="99" t="str">
        <f t="shared" si="325"/>
        <v>L3 Construction</v>
      </c>
      <c r="J177" s="98"/>
      <c r="K177" s="175">
        <f t="shared" ref="K177:K178" si="329">K176</f>
        <v>0</v>
      </c>
      <c r="L177" s="99">
        <f t="shared" ref="L177:L178" si="330">L176</f>
        <v>0</v>
      </c>
      <c r="M177" s="106"/>
      <c r="N177" s="106"/>
      <c r="O177" s="99"/>
      <c r="P177" s="99"/>
      <c r="Q177" s="98"/>
      <c r="R177" s="175">
        <f t="shared" ref="R177:R178" si="331">R176</f>
        <v>0</v>
      </c>
      <c r="S177" s="99">
        <f t="shared" ref="S177:S178" si="332">S176</f>
        <v>0</v>
      </c>
      <c r="T177" s="109" t="s">
        <v>251</v>
      </c>
      <c r="U177" s="109" t="s">
        <v>286</v>
      </c>
      <c r="V177" s="99"/>
      <c r="W177" s="99" t="str">
        <f t="shared" si="326"/>
        <v>L3 Construction</v>
      </c>
      <c r="X177" s="147"/>
      <c r="Y177" s="130">
        <f t="shared" ref="Y177:Y178" si="333">Y176</f>
        <v>0</v>
      </c>
      <c r="Z177" s="100">
        <f t="shared" ref="Z177:Z178" si="334">Z176</f>
        <v>0</v>
      </c>
      <c r="AA177" s="100"/>
      <c r="AB177" s="100"/>
      <c r="AC177" s="100"/>
      <c r="AD177" s="148"/>
    </row>
    <row r="178" spans="1:30" ht="15" customHeight="1">
      <c r="A178" s="265"/>
      <c r="B178" s="269"/>
      <c r="D178" s="130" t="str">
        <f t="shared" si="327"/>
        <v>Moteur à combustion interne</v>
      </c>
      <c r="E178" s="99" t="str">
        <f t="shared" si="328"/>
        <v>A.Benarfaoui</v>
      </c>
      <c r="F178" s="109"/>
      <c r="G178" s="109"/>
      <c r="H178" s="99"/>
      <c r="I178" s="99" t="str">
        <f t="shared" si="325"/>
        <v>L3 Construction</v>
      </c>
      <c r="J178" s="98"/>
      <c r="K178" s="175">
        <f t="shared" si="329"/>
        <v>0</v>
      </c>
      <c r="L178" s="99">
        <f t="shared" si="330"/>
        <v>0</v>
      </c>
      <c r="M178" s="109"/>
      <c r="N178" s="109"/>
      <c r="O178" s="99"/>
      <c r="P178" s="99"/>
      <c r="Q178" s="98"/>
      <c r="R178" s="175">
        <f t="shared" si="331"/>
        <v>0</v>
      </c>
      <c r="S178" s="99">
        <f t="shared" si="332"/>
        <v>0</v>
      </c>
      <c r="T178" s="109"/>
      <c r="U178" s="109" t="s">
        <v>286</v>
      </c>
      <c r="V178" s="99"/>
      <c r="W178" s="99" t="str">
        <f t="shared" si="326"/>
        <v>L3 Construction</v>
      </c>
      <c r="X178" s="147"/>
      <c r="Y178" s="130">
        <f t="shared" si="333"/>
        <v>0</v>
      </c>
      <c r="Z178" s="100">
        <f t="shared" si="334"/>
        <v>0</v>
      </c>
      <c r="AA178" s="100"/>
      <c r="AB178" s="100"/>
      <c r="AC178" s="100"/>
      <c r="AD178" s="148"/>
    </row>
    <row r="179" spans="1:30" ht="15" customHeight="1">
      <c r="A179" s="265"/>
      <c r="B179" s="270" t="s">
        <v>243</v>
      </c>
      <c r="C179" s="101" t="s">
        <v>42</v>
      </c>
      <c r="D179" s="131" t="str">
        <f>'3 Licence'!C37</f>
        <v>Moteur à combustion interne</v>
      </c>
      <c r="E179" s="102" t="s">
        <v>87</v>
      </c>
      <c r="F179" s="109" t="s">
        <v>250</v>
      </c>
      <c r="G179" s="109" t="s">
        <v>285</v>
      </c>
      <c r="H179" s="102"/>
      <c r="I179" s="102" t="str">
        <f>$B$47</f>
        <v>L3 Energétique</v>
      </c>
      <c r="J179" s="101"/>
      <c r="K179" s="176"/>
      <c r="L179" s="102"/>
      <c r="M179" s="109" t="s">
        <v>250</v>
      </c>
      <c r="N179" s="109"/>
      <c r="O179" s="102"/>
      <c r="P179" s="102"/>
      <c r="Q179" s="101"/>
      <c r="R179" s="176"/>
      <c r="S179" s="102"/>
      <c r="T179" s="109"/>
      <c r="U179" s="109"/>
      <c r="V179" s="102"/>
      <c r="W179" s="102" t="str">
        <f>$B$47</f>
        <v>L3 Energétique</v>
      </c>
      <c r="X179" s="149"/>
      <c r="Y179" s="131"/>
      <c r="Z179" s="103"/>
      <c r="AA179" s="103" t="s">
        <v>250</v>
      </c>
      <c r="AB179" s="103"/>
      <c r="AC179" s="103"/>
      <c r="AD179" s="150"/>
    </row>
    <row r="180" spans="1:30" ht="15" customHeight="1">
      <c r="A180" s="265"/>
      <c r="B180" s="270"/>
      <c r="C180" s="101" t="s">
        <v>87</v>
      </c>
      <c r="D180" s="131" t="str">
        <f>D179</f>
        <v>Moteur à combustion interne</v>
      </c>
      <c r="E180" s="102" t="str">
        <f>E179</f>
        <v>A.Benarfaoui</v>
      </c>
      <c r="F180" s="109"/>
      <c r="G180" s="109"/>
      <c r="H180" s="102"/>
      <c r="I180" s="102" t="str">
        <f t="shared" ref="I180:I182" si="335">$B$47</f>
        <v>L3 Energétique</v>
      </c>
      <c r="J180" s="101"/>
      <c r="K180" s="176">
        <f>K179</f>
        <v>0</v>
      </c>
      <c r="L180" s="102">
        <f>L179</f>
        <v>0</v>
      </c>
      <c r="M180" s="109"/>
      <c r="N180" s="109"/>
      <c r="O180" s="102"/>
      <c r="P180" s="102"/>
      <c r="Q180" s="101"/>
      <c r="R180" s="176">
        <f>R179</f>
        <v>0</v>
      </c>
      <c r="S180" s="102">
        <f>S179</f>
        <v>0</v>
      </c>
      <c r="T180" s="112" t="s">
        <v>250</v>
      </c>
      <c r="U180" s="112" t="s">
        <v>289</v>
      </c>
      <c r="V180" s="102"/>
      <c r="W180" s="102" t="str">
        <f t="shared" ref="W180:W182" si="336">$B$47</f>
        <v>L3 Energétique</v>
      </c>
      <c r="X180" s="149"/>
      <c r="Y180" s="131">
        <f>Y179</f>
        <v>0</v>
      </c>
      <c r="Z180" s="103">
        <f>Z179</f>
        <v>0</v>
      </c>
      <c r="AA180" s="103" t="s">
        <v>251</v>
      </c>
      <c r="AB180" s="103"/>
      <c r="AC180" s="103"/>
      <c r="AD180" s="150"/>
    </row>
    <row r="181" spans="1:30" ht="15" customHeight="1">
      <c r="A181" s="265"/>
      <c r="B181" s="270"/>
      <c r="C181" s="98" t="s">
        <v>122</v>
      </c>
      <c r="D181" s="131" t="str">
        <f t="shared" ref="D181:D182" si="337">D180</f>
        <v>Moteur à combustion interne</v>
      </c>
      <c r="E181" s="102" t="str">
        <f t="shared" ref="E181" si="338">E180</f>
        <v>A.Benarfaoui</v>
      </c>
      <c r="F181" s="109"/>
      <c r="G181" s="109"/>
      <c r="H181" s="102"/>
      <c r="I181" s="102" t="str">
        <f t="shared" si="335"/>
        <v>L3 Energétique</v>
      </c>
      <c r="J181" s="101"/>
      <c r="K181" s="176">
        <f t="shared" ref="K181:K182" si="339">K180</f>
        <v>0</v>
      </c>
      <c r="L181" s="102">
        <f t="shared" ref="L181:L182" si="340">L180</f>
        <v>0</v>
      </c>
      <c r="M181" s="109"/>
      <c r="N181" s="109"/>
      <c r="O181" s="102"/>
      <c r="P181" s="102"/>
      <c r="Q181" s="101"/>
      <c r="R181" s="176">
        <f t="shared" ref="R181:R182" si="341">R180</f>
        <v>0</v>
      </c>
      <c r="S181" s="102">
        <f t="shared" ref="S181:S182" si="342">S180</f>
        <v>0</v>
      </c>
      <c r="T181" s="112" t="s">
        <v>251</v>
      </c>
      <c r="U181" s="112" t="s">
        <v>290</v>
      </c>
      <c r="V181" s="102"/>
      <c r="W181" s="102" t="str">
        <f t="shared" si="336"/>
        <v>L3 Energétique</v>
      </c>
      <c r="X181" s="149"/>
      <c r="Y181" s="131">
        <f t="shared" ref="Y181:Y182" si="343">Y180</f>
        <v>0</v>
      </c>
      <c r="Z181" s="103">
        <f t="shared" ref="Z181:Z182" si="344">Z180</f>
        <v>0</v>
      </c>
      <c r="AA181" s="103"/>
      <c r="AB181" s="103"/>
      <c r="AC181" s="103"/>
      <c r="AD181" s="150"/>
    </row>
    <row r="182" spans="1:30" ht="15" customHeight="1">
      <c r="A182" s="265"/>
      <c r="B182" s="270"/>
      <c r="C182" s="101"/>
      <c r="D182" s="131" t="str">
        <f t="shared" si="337"/>
        <v>Moteur à combustion interne</v>
      </c>
      <c r="E182" s="102" t="str">
        <f>E181</f>
        <v>A.Benarfaoui</v>
      </c>
      <c r="F182" s="112"/>
      <c r="G182" s="112"/>
      <c r="H182" s="102"/>
      <c r="I182" s="102" t="str">
        <f t="shared" si="335"/>
        <v>L3 Energétique</v>
      </c>
      <c r="J182" s="101"/>
      <c r="K182" s="176">
        <f t="shared" si="339"/>
        <v>0</v>
      </c>
      <c r="L182" s="102">
        <f t="shared" si="340"/>
        <v>0</v>
      </c>
      <c r="M182" s="112"/>
      <c r="N182" s="112"/>
      <c r="O182" s="102"/>
      <c r="P182" s="102"/>
      <c r="Q182" s="101"/>
      <c r="R182" s="176">
        <f t="shared" si="341"/>
        <v>0</v>
      </c>
      <c r="S182" s="102">
        <f t="shared" si="342"/>
        <v>0</v>
      </c>
      <c r="T182" s="112"/>
      <c r="U182" s="112"/>
      <c r="V182" s="102"/>
      <c r="W182" s="102" t="str">
        <f t="shared" si="336"/>
        <v>L3 Energétique</v>
      </c>
      <c r="X182" s="149"/>
      <c r="Y182" s="131">
        <f t="shared" si="343"/>
        <v>0</v>
      </c>
      <c r="Z182" s="103">
        <f t="shared" si="344"/>
        <v>0</v>
      </c>
      <c r="AA182" s="103"/>
      <c r="AB182" s="103"/>
      <c r="AC182" s="103"/>
      <c r="AD182" s="150"/>
    </row>
    <row r="183" spans="1:30" ht="15.75">
      <c r="A183" s="265"/>
      <c r="B183" s="80" t="s">
        <v>244</v>
      </c>
      <c r="C183" s="104" t="s">
        <v>275</v>
      </c>
      <c r="D183" s="132" t="str">
        <f>'Maset I'!C34</f>
        <v>Génie des surfaces</v>
      </c>
      <c r="E183" s="123" t="s">
        <v>275</v>
      </c>
      <c r="F183" s="112"/>
      <c r="G183" s="112" t="s">
        <v>293</v>
      </c>
      <c r="H183" s="105"/>
      <c r="I183" s="105" t="str">
        <f>$B$51</f>
        <v>M1 Métallurgie</v>
      </c>
      <c r="J183" s="104"/>
      <c r="K183" s="177"/>
      <c r="L183" s="123"/>
      <c r="M183" s="112"/>
      <c r="N183" s="112"/>
      <c r="O183" s="105"/>
      <c r="P183" s="105"/>
      <c r="Q183" s="104"/>
      <c r="R183" s="177"/>
      <c r="S183" s="123"/>
      <c r="T183" s="112"/>
      <c r="U183" s="112"/>
      <c r="V183" s="105"/>
      <c r="W183" s="105" t="str">
        <f>$B$51</f>
        <v>M1 Métallurgie</v>
      </c>
      <c r="X183" s="151"/>
      <c r="Y183" s="132"/>
      <c r="Z183" s="152"/>
      <c r="AA183" s="106"/>
      <c r="AB183" s="106"/>
      <c r="AC183" s="106"/>
      <c r="AD183" s="153"/>
    </row>
    <row r="184" spans="1:30" ht="15" customHeight="1">
      <c r="A184" s="265"/>
      <c r="B184" s="271" t="s">
        <v>245</v>
      </c>
      <c r="C184" s="107"/>
      <c r="D184" s="133" t="str">
        <f>'Maset I'!C35</f>
        <v>Systèmes mécaniques articulés et robotique</v>
      </c>
      <c r="E184" s="126" t="s">
        <v>152</v>
      </c>
      <c r="F184" s="112"/>
      <c r="G184" s="112" t="s">
        <v>286</v>
      </c>
      <c r="H184" s="108"/>
      <c r="I184" s="108" t="str">
        <f>$B$52</f>
        <v>M1 Construction</v>
      </c>
      <c r="J184" s="107"/>
      <c r="K184" s="178"/>
      <c r="L184" s="126"/>
      <c r="M184" s="112"/>
      <c r="N184" s="112"/>
      <c r="O184" s="108"/>
      <c r="P184" s="108"/>
      <c r="Q184" s="107"/>
      <c r="R184" s="178"/>
      <c r="S184" s="126"/>
      <c r="T184" s="115"/>
      <c r="U184" s="115"/>
      <c r="V184" s="108"/>
      <c r="W184" s="108" t="str">
        <f>$B$52</f>
        <v>M1 Construction</v>
      </c>
      <c r="X184" s="154"/>
      <c r="Y184" s="133"/>
      <c r="Z184" s="155"/>
      <c r="AA184" s="109" t="s">
        <v>250</v>
      </c>
      <c r="AB184" s="109"/>
      <c r="AC184" s="109"/>
      <c r="AD184" s="156"/>
    </row>
    <row r="185" spans="1:30" ht="15" customHeight="1">
      <c r="A185" s="265"/>
      <c r="B185" s="271"/>
      <c r="C185" s="107" t="s">
        <v>110</v>
      </c>
      <c r="D185" s="133" t="str">
        <f>D184</f>
        <v>Systèmes mécaniques articulés et robotique</v>
      </c>
      <c r="E185" s="108" t="str">
        <f>E184</f>
        <v>D.Mohamdi</v>
      </c>
      <c r="F185" s="112"/>
      <c r="G185" s="112" t="s">
        <v>286</v>
      </c>
      <c r="H185" s="108"/>
      <c r="I185" s="108" t="str">
        <f t="shared" ref="I185:I187" si="345">$B$52</f>
        <v>M1 Construction</v>
      </c>
      <c r="J185" s="107"/>
      <c r="K185" s="178">
        <f>K184</f>
        <v>0</v>
      </c>
      <c r="L185" s="108">
        <f>L184</f>
        <v>0</v>
      </c>
      <c r="M185" s="112"/>
      <c r="N185" s="112"/>
      <c r="O185" s="108"/>
      <c r="P185" s="108"/>
      <c r="Q185" s="107"/>
      <c r="R185" s="178">
        <f>R184</f>
        <v>0</v>
      </c>
      <c r="S185" s="108">
        <f>S184</f>
        <v>0</v>
      </c>
      <c r="T185" s="117" t="s">
        <v>250</v>
      </c>
      <c r="U185" s="117"/>
      <c r="V185" s="108"/>
      <c r="W185" s="108" t="str">
        <f t="shared" ref="W185:W187" si="346">$B$52</f>
        <v>M1 Construction</v>
      </c>
      <c r="X185" s="154"/>
      <c r="Y185" s="133">
        <f>Y184</f>
        <v>0</v>
      </c>
      <c r="Z185" s="109">
        <f>Z184</f>
        <v>0</v>
      </c>
      <c r="AA185" s="109" t="s">
        <v>251</v>
      </c>
      <c r="AB185" s="109"/>
      <c r="AC185" s="109"/>
      <c r="AD185" s="156"/>
    </row>
    <row r="186" spans="1:30" ht="15" customHeight="1">
      <c r="A186" s="265"/>
      <c r="B186" s="271"/>
      <c r="C186" s="107" t="s">
        <v>36</v>
      </c>
      <c r="D186" s="133" t="str">
        <f t="shared" ref="D186:D187" si="347">D185</f>
        <v>Systèmes mécaniques articulés et robotique</v>
      </c>
      <c r="E186" s="108" t="str">
        <f t="shared" ref="E186:E187" si="348">E185</f>
        <v>D.Mohamdi</v>
      </c>
      <c r="F186" s="115"/>
      <c r="G186" s="112" t="s">
        <v>286</v>
      </c>
      <c r="H186" s="108"/>
      <c r="I186" s="108" t="str">
        <f t="shared" si="345"/>
        <v>M1 Construction</v>
      </c>
      <c r="J186" s="107"/>
      <c r="K186" s="178">
        <f t="shared" ref="K186:K187" si="349">K185</f>
        <v>0</v>
      </c>
      <c r="L186" s="108">
        <f t="shared" ref="L186:L187" si="350">L185</f>
        <v>0</v>
      </c>
      <c r="M186" s="115"/>
      <c r="N186" s="115"/>
      <c r="O186" s="108"/>
      <c r="P186" s="108"/>
      <c r="Q186" s="107"/>
      <c r="R186" s="178">
        <f t="shared" ref="R186:R187" si="351">R185</f>
        <v>0</v>
      </c>
      <c r="S186" s="108">
        <f t="shared" ref="S186:S187" si="352">S185</f>
        <v>0</v>
      </c>
      <c r="T186" s="117" t="s">
        <v>251</v>
      </c>
      <c r="U186" s="117"/>
      <c r="V186" s="108"/>
      <c r="W186" s="108" t="str">
        <f t="shared" si="346"/>
        <v>M1 Construction</v>
      </c>
      <c r="X186" s="154"/>
      <c r="Y186" s="133">
        <f t="shared" ref="Y186:Y187" si="353">Y185</f>
        <v>0</v>
      </c>
      <c r="Z186" s="109">
        <f t="shared" ref="Z186:Z187" si="354">Z185</f>
        <v>0</v>
      </c>
      <c r="AA186" s="109"/>
      <c r="AB186" s="109"/>
      <c r="AC186" s="109"/>
      <c r="AD186" s="156"/>
    </row>
    <row r="187" spans="1:30" ht="15" customHeight="1">
      <c r="A187" s="265"/>
      <c r="B187" s="271"/>
      <c r="C187" s="107" t="s">
        <v>152</v>
      </c>
      <c r="D187" s="133" t="str">
        <f t="shared" si="347"/>
        <v>Systèmes mécaniques articulés et robotique</v>
      </c>
      <c r="E187" s="108" t="str">
        <f t="shared" si="348"/>
        <v>D.Mohamdi</v>
      </c>
      <c r="F187" s="117"/>
      <c r="G187" s="117"/>
      <c r="H187" s="108"/>
      <c r="I187" s="108" t="str">
        <f t="shared" si="345"/>
        <v>M1 Construction</v>
      </c>
      <c r="J187" s="107"/>
      <c r="K187" s="178">
        <f t="shared" si="349"/>
        <v>0</v>
      </c>
      <c r="L187" s="108">
        <f t="shared" si="350"/>
        <v>0</v>
      </c>
      <c r="M187" s="117"/>
      <c r="N187" s="117"/>
      <c r="O187" s="108"/>
      <c r="P187" s="108"/>
      <c r="Q187" s="107"/>
      <c r="R187" s="178">
        <f t="shared" si="351"/>
        <v>0</v>
      </c>
      <c r="S187" s="108">
        <f t="shared" si="352"/>
        <v>0</v>
      </c>
      <c r="T187" s="116"/>
      <c r="U187" s="117"/>
      <c r="V187" s="108"/>
      <c r="W187" s="108" t="str">
        <f t="shared" si="346"/>
        <v>M1 Construction</v>
      </c>
      <c r="X187" s="154"/>
      <c r="Y187" s="133">
        <f t="shared" si="353"/>
        <v>0</v>
      </c>
      <c r="Z187" s="109">
        <f t="shared" si="354"/>
        <v>0</v>
      </c>
      <c r="AA187" s="109"/>
      <c r="AB187" s="109"/>
      <c r="AC187" s="109"/>
      <c r="AD187" s="156"/>
    </row>
    <row r="188" spans="1:30" ht="15" customHeight="1">
      <c r="A188" s="265"/>
      <c r="B188" s="272" t="s">
        <v>246</v>
      </c>
      <c r="C188" s="110" t="s">
        <v>37</v>
      </c>
      <c r="D188" s="134" t="str">
        <f>'Maset I'!C37</f>
        <v>Méthode des volumes finis</v>
      </c>
      <c r="E188" s="124" t="s">
        <v>47</v>
      </c>
      <c r="F188" s="117" t="s">
        <v>250</v>
      </c>
      <c r="G188" s="117" t="s">
        <v>289</v>
      </c>
      <c r="H188" s="111"/>
      <c r="I188" s="111" t="str">
        <f>$B$56</f>
        <v>M1 Energétique</v>
      </c>
      <c r="J188" s="110"/>
      <c r="K188" s="179"/>
      <c r="L188" s="124"/>
      <c r="M188" s="117" t="s">
        <v>250</v>
      </c>
      <c r="N188" s="117"/>
      <c r="O188" s="111"/>
      <c r="P188" s="111"/>
      <c r="Q188" s="110"/>
      <c r="R188" s="179"/>
      <c r="S188" s="124"/>
      <c r="T188" s="116"/>
      <c r="U188" s="117"/>
      <c r="V188" s="111"/>
      <c r="W188" s="111" t="str">
        <f>$B$56</f>
        <v>M1 Energétique</v>
      </c>
      <c r="X188" s="157"/>
      <c r="Y188" s="134"/>
      <c r="Z188" s="158"/>
      <c r="AA188" s="112" t="s">
        <v>250</v>
      </c>
      <c r="AB188" s="112"/>
      <c r="AC188" s="112"/>
      <c r="AD188" s="159"/>
    </row>
    <row r="189" spans="1:30" ht="15" customHeight="1">
      <c r="A189" s="265"/>
      <c r="B189" s="272"/>
      <c r="C189" s="110" t="s">
        <v>38</v>
      </c>
      <c r="D189" s="134" t="str">
        <f>D188</f>
        <v>Méthode des volumes finis</v>
      </c>
      <c r="E189" s="111" t="str">
        <f>E188</f>
        <v>M.Zellouf</v>
      </c>
      <c r="F189" s="116" t="s">
        <v>292</v>
      </c>
      <c r="G189" s="117" t="s">
        <v>290</v>
      </c>
      <c r="H189" s="111"/>
      <c r="I189" s="111" t="str">
        <f t="shared" ref="I189:I191" si="355">$B$56</f>
        <v>M1 Energétique</v>
      </c>
      <c r="J189" s="110"/>
      <c r="K189" s="179">
        <f>K188</f>
        <v>0</v>
      </c>
      <c r="L189" s="111">
        <f>L188</f>
        <v>0</v>
      </c>
      <c r="M189" s="116" t="s">
        <v>292</v>
      </c>
      <c r="N189" s="117"/>
      <c r="O189" s="111"/>
      <c r="P189" s="111"/>
      <c r="Q189" s="110"/>
      <c r="R189" s="179">
        <f>R188</f>
        <v>0</v>
      </c>
      <c r="S189" s="111">
        <f>S188</f>
        <v>0</v>
      </c>
      <c r="T189" s="119" t="s">
        <v>250</v>
      </c>
      <c r="U189" s="166"/>
      <c r="V189" s="111"/>
      <c r="W189" s="111" t="str">
        <f t="shared" ref="W189:W191" si="356">$B$56</f>
        <v>M1 Energétique</v>
      </c>
      <c r="X189" s="157"/>
      <c r="Y189" s="134">
        <f>Y188</f>
        <v>0</v>
      </c>
      <c r="Z189" s="112">
        <f>Z188</f>
        <v>0</v>
      </c>
      <c r="AA189" s="112" t="s">
        <v>251</v>
      </c>
      <c r="AB189" s="112"/>
      <c r="AC189" s="112"/>
      <c r="AD189" s="159"/>
    </row>
    <row r="190" spans="1:30" ht="15" customHeight="1">
      <c r="A190" s="265"/>
      <c r="B190" s="272"/>
      <c r="C190" s="110" t="s">
        <v>61</v>
      </c>
      <c r="D190" s="134" t="str">
        <f t="shared" ref="D190:D191" si="357">D189</f>
        <v>Méthode des volumes finis</v>
      </c>
      <c r="E190" s="111" t="str">
        <f t="shared" ref="E190:E191" si="358">E189</f>
        <v>M.Zellouf</v>
      </c>
      <c r="F190" s="116"/>
      <c r="G190" s="117"/>
      <c r="H190" s="111"/>
      <c r="I190" s="111" t="str">
        <f t="shared" si="355"/>
        <v>M1 Energétique</v>
      </c>
      <c r="J190" s="110"/>
      <c r="K190" s="179">
        <f t="shared" ref="K190:K191" si="359">K189</f>
        <v>0</v>
      </c>
      <c r="L190" s="111">
        <f t="shared" ref="L190:L191" si="360">L189</f>
        <v>0</v>
      </c>
      <c r="M190" s="116"/>
      <c r="N190" s="117"/>
      <c r="O190" s="111"/>
      <c r="P190" s="111"/>
      <c r="Q190" s="110"/>
      <c r="R190" s="179">
        <f t="shared" ref="R190:R191" si="361">R189</f>
        <v>0</v>
      </c>
      <c r="S190" s="111">
        <f t="shared" ref="S190:S191" si="362">S189</f>
        <v>0</v>
      </c>
      <c r="T190" s="119" t="s">
        <v>251</v>
      </c>
      <c r="U190" s="166"/>
      <c r="V190" s="111"/>
      <c r="W190" s="111" t="str">
        <f t="shared" si="356"/>
        <v>M1 Energétique</v>
      </c>
      <c r="X190" s="157"/>
      <c r="Y190" s="134">
        <f t="shared" ref="Y190:Y191" si="363">Y189</f>
        <v>0</v>
      </c>
      <c r="Z190" s="112">
        <f t="shared" ref="Z190:Z191" si="364">Z189</f>
        <v>0</v>
      </c>
      <c r="AA190" s="112"/>
      <c r="AB190" s="112"/>
      <c r="AC190" s="112"/>
      <c r="AD190" s="159"/>
    </row>
    <row r="191" spans="1:30" ht="15" customHeight="1">
      <c r="A191" s="265"/>
      <c r="B191" s="272"/>
      <c r="C191" s="110" t="s">
        <v>98</v>
      </c>
      <c r="D191" s="134" t="str">
        <f t="shared" si="357"/>
        <v>Méthode des volumes finis</v>
      </c>
      <c r="E191" s="111" t="str">
        <f t="shared" si="358"/>
        <v>M.Zellouf</v>
      </c>
      <c r="F191" s="119"/>
      <c r="G191" s="166"/>
      <c r="H191" s="111"/>
      <c r="I191" s="111" t="str">
        <f t="shared" si="355"/>
        <v>M1 Energétique</v>
      </c>
      <c r="J191" s="110"/>
      <c r="K191" s="179">
        <f t="shared" si="359"/>
        <v>0</v>
      </c>
      <c r="L191" s="111">
        <f t="shared" si="360"/>
        <v>0</v>
      </c>
      <c r="M191" s="119"/>
      <c r="N191" s="166"/>
      <c r="O191" s="111"/>
      <c r="P191" s="111"/>
      <c r="Q191" s="110"/>
      <c r="R191" s="179">
        <f t="shared" si="361"/>
        <v>0</v>
      </c>
      <c r="S191" s="111">
        <f t="shared" si="362"/>
        <v>0</v>
      </c>
      <c r="T191" s="119"/>
      <c r="U191" s="166"/>
      <c r="V191" s="111"/>
      <c r="W191" s="111" t="str">
        <f t="shared" si="356"/>
        <v>M1 Energétique</v>
      </c>
      <c r="X191" s="157"/>
      <c r="Y191" s="134">
        <f t="shared" si="363"/>
        <v>0</v>
      </c>
      <c r="Z191" s="112">
        <f t="shared" si="364"/>
        <v>0</v>
      </c>
      <c r="AA191" s="112"/>
      <c r="AB191" s="112"/>
      <c r="AC191" s="112"/>
      <c r="AD191" s="159"/>
    </row>
    <row r="192" spans="1:30" ht="16.5" thickBot="1">
      <c r="A192" s="265"/>
      <c r="B192" s="81" t="s">
        <v>247</v>
      </c>
      <c r="C192" s="113"/>
      <c r="D192" s="135"/>
      <c r="E192" s="122"/>
      <c r="F192" s="119"/>
      <c r="G192" s="166"/>
      <c r="H192" s="114"/>
      <c r="I192" s="114"/>
      <c r="J192" s="113"/>
      <c r="K192" s="180"/>
      <c r="L192" s="122"/>
      <c r="M192" s="119"/>
      <c r="N192" s="166"/>
      <c r="O192" s="114"/>
      <c r="P192" s="114"/>
      <c r="Q192" s="113"/>
      <c r="R192" s="180"/>
      <c r="S192" s="122"/>
      <c r="T192" s="121"/>
      <c r="U192" s="169"/>
      <c r="V192" s="114"/>
      <c r="W192" s="114"/>
      <c r="X192" s="160"/>
      <c r="Y192" s="135"/>
      <c r="Z192" s="161"/>
      <c r="AA192" s="115"/>
      <c r="AB192" s="115"/>
      <c r="AC192" s="115"/>
      <c r="AD192" s="162"/>
    </row>
    <row r="193" spans="1:30" ht="15" customHeight="1">
      <c r="A193" s="265"/>
      <c r="B193" s="268" t="s">
        <v>248</v>
      </c>
      <c r="C193" s="93"/>
      <c r="D193" s="136"/>
      <c r="E193" s="92"/>
      <c r="F193" s="119"/>
      <c r="G193" s="166"/>
      <c r="H193" s="116"/>
      <c r="I193" s="116"/>
      <c r="J193" s="93"/>
      <c r="K193" s="181"/>
      <c r="L193" s="92"/>
      <c r="M193" s="119"/>
      <c r="N193" s="166"/>
      <c r="O193" s="116"/>
      <c r="P193" s="116"/>
      <c r="Q193" s="93"/>
      <c r="R193" s="181"/>
      <c r="S193" s="92"/>
      <c r="T193" s="117" t="s">
        <v>250</v>
      </c>
      <c r="U193" s="117"/>
      <c r="V193" s="116"/>
      <c r="W193" s="116"/>
      <c r="X193" s="143"/>
      <c r="Y193" s="136"/>
      <c r="Z193" s="87"/>
      <c r="AA193" s="117" t="s">
        <v>250</v>
      </c>
      <c r="AB193" s="117"/>
      <c r="AC193" s="117"/>
      <c r="AD193" s="163"/>
    </row>
    <row r="194" spans="1:30" ht="15" customHeight="1" thickBot="1">
      <c r="A194" s="265"/>
      <c r="B194" s="268"/>
      <c r="C194" s="93"/>
      <c r="D194" s="136">
        <f>D193</f>
        <v>0</v>
      </c>
      <c r="E194" s="116">
        <f>E193</f>
        <v>0</v>
      </c>
      <c r="F194" s="121"/>
      <c r="G194" s="169"/>
      <c r="H194" s="116"/>
      <c r="I194" s="116"/>
      <c r="J194" s="93"/>
      <c r="K194" s="181">
        <f>K193</f>
        <v>0</v>
      </c>
      <c r="L194" s="116">
        <f>L193</f>
        <v>0</v>
      </c>
      <c r="M194" s="121"/>
      <c r="N194" s="169"/>
      <c r="O194" s="116"/>
      <c r="P194" s="116"/>
      <c r="Q194" s="93"/>
      <c r="R194" s="181">
        <f>R193</f>
        <v>0</v>
      </c>
      <c r="S194" s="116">
        <f>S193</f>
        <v>0</v>
      </c>
      <c r="T194" s="117" t="s">
        <v>251</v>
      </c>
      <c r="U194" s="117"/>
      <c r="V194" s="116"/>
      <c r="W194" s="116"/>
      <c r="X194" s="143"/>
      <c r="Y194" s="136">
        <f>Y193</f>
        <v>0</v>
      </c>
      <c r="Z194" s="117">
        <f>Z193</f>
        <v>0</v>
      </c>
      <c r="AA194" s="117" t="s">
        <v>251</v>
      </c>
      <c r="AB194" s="117"/>
      <c r="AC194" s="117"/>
      <c r="AD194" s="163"/>
    </row>
    <row r="195" spans="1:30" ht="15" customHeight="1">
      <c r="A195" s="265"/>
      <c r="B195" s="268"/>
      <c r="C195" s="93"/>
      <c r="D195" s="136">
        <f t="shared" ref="D195:D196" si="365">D194</f>
        <v>0</v>
      </c>
      <c r="E195" s="116">
        <f t="shared" ref="E195:E196" si="366">E194</f>
        <v>0</v>
      </c>
      <c r="F195" s="90"/>
      <c r="G195" s="89"/>
      <c r="H195" s="116"/>
      <c r="I195" s="116"/>
      <c r="J195" s="93"/>
      <c r="K195" s="181">
        <f t="shared" ref="K195:K196" si="367">K194</f>
        <v>0</v>
      </c>
      <c r="L195" s="116">
        <f t="shared" ref="L195:L196" si="368">L194</f>
        <v>0</v>
      </c>
      <c r="M195" s="90"/>
      <c r="N195" s="89"/>
      <c r="O195" s="116"/>
      <c r="P195" s="116"/>
      <c r="Q195" s="93"/>
      <c r="R195" s="181">
        <f t="shared" ref="R195:R196" si="369">R194</f>
        <v>0</v>
      </c>
      <c r="S195" s="116">
        <f t="shared" ref="S195:S196" si="370">S194</f>
        <v>0</v>
      </c>
      <c r="T195" s="116"/>
      <c r="U195" s="117"/>
      <c r="V195" s="116"/>
      <c r="W195" s="116"/>
      <c r="X195" s="143"/>
      <c r="Y195" s="136">
        <f t="shared" ref="Y195:Y196" si="371">Y194</f>
        <v>0</v>
      </c>
      <c r="Z195" s="117">
        <f t="shared" ref="Z195:Z196" si="372">Z194</f>
        <v>0</v>
      </c>
      <c r="AA195" s="117"/>
      <c r="AB195" s="117"/>
      <c r="AC195" s="117"/>
      <c r="AD195" s="163"/>
    </row>
    <row r="196" spans="1:30" ht="15" customHeight="1">
      <c r="A196" s="265"/>
      <c r="B196" s="268"/>
      <c r="C196" s="93"/>
      <c r="D196" s="136">
        <f t="shared" si="365"/>
        <v>0</v>
      </c>
      <c r="E196" s="116">
        <f t="shared" si="366"/>
        <v>0</v>
      </c>
      <c r="F196" s="87" t="s">
        <v>250</v>
      </c>
      <c r="G196" s="92"/>
      <c r="H196" s="116"/>
      <c r="I196" s="116"/>
      <c r="J196" s="93"/>
      <c r="K196" s="181">
        <f t="shared" si="367"/>
        <v>0</v>
      </c>
      <c r="L196" s="116">
        <f t="shared" si="368"/>
        <v>0</v>
      </c>
      <c r="M196" s="87" t="s">
        <v>250</v>
      </c>
      <c r="N196" s="92"/>
      <c r="O196" s="116"/>
      <c r="P196" s="116"/>
      <c r="Q196" s="93"/>
      <c r="R196" s="181">
        <f t="shared" si="369"/>
        <v>0</v>
      </c>
      <c r="S196" s="116">
        <f t="shared" si="370"/>
        <v>0</v>
      </c>
      <c r="T196" s="116"/>
      <c r="U196" s="117"/>
      <c r="V196" s="116"/>
      <c r="W196" s="116"/>
      <c r="X196" s="143"/>
      <c r="Y196" s="136">
        <f t="shared" si="371"/>
        <v>0</v>
      </c>
      <c r="Z196" s="117">
        <f t="shared" si="372"/>
        <v>0</v>
      </c>
      <c r="AA196" s="117"/>
      <c r="AB196" s="117"/>
      <c r="AC196" s="117"/>
      <c r="AD196" s="163"/>
    </row>
    <row r="197" spans="1:30" ht="15" customHeight="1">
      <c r="A197" s="265"/>
      <c r="B197" s="273" t="s">
        <v>249</v>
      </c>
      <c r="C197" s="118"/>
      <c r="D197" s="137"/>
      <c r="E197" s="125"/>
      <c r="F197" s="87" t="s">
        <v>251</v>
      </c>
      <c r="G197" s="92"/>
      <c r="H197" s="119"/>
      <c r="I197" s="119"/>
      <c r="J197" s="118"/>
      <c r="K197" s="182"/>
      <c r="L197" s="125"/>
      <c r="M197" s="87" t="s">
        <v>251</v>
      </c>
      <c r="N197" s="92"/>
      <c r="O197" s="119"/>
      <c r="P197" s="119"/>
      <c r="Q197" s="118"/>
      <c r="R197" s="182"/>
      <c r="S197" s="125"/>
      <c r="T197" s="119" t="s">
        <v>250</v>
      </c>
      <c r="U197" s="166"/>
      <c r="V197" s="119"/>
      <c r="W197" s="119"/>
      <c r="X197" s="164"/>
      <c r="Y197" s="137"/>
      <c r="Z197" s="165"/>
      <c r="AA197" s="166" t="s">
        <v>250</v>
      </c>
      <c r="AB197" s="166"/>
      <c r="AC197" s="166"/>
      <c r="AD197" s="167"/>
    </row>
    <row r="198" spans="1:30" ht="15" customHeight="1">
      <c r="A198" s="265"/>
      <c r="B198" s="273"/>
      <c r="C198" s="118"/>
      <c r="D198" s="137">
        <f>D197</f>
        <v>0</v>
      </c>
      <c r="E198" s="119">
        <f>E197</f>
        <v>0</v>
      </c>
      <c r="F198" s="87" t="s">
        <v>252</v>
      </c>
      <c r="G198" s="92"/>
      <c r="H198" s="119"/>
      <c r="I198" s="119"/>
      <c r="J198" s="118"/>
      <c r="K198" s="182">
        <f>K197</f>
        <v>0</v>
      </c>
      <c r="L198" s="119">
        <f>L197</f>
        <v>0</v>
      </c>
      <c r="M198" s="87" t="s">
        <v>252</v>
      </c>
      <c r="N198" s="92"/>
      <c r="O198" s="119"/>
      <c r="P198" s="119"/>
      <c r="Q198" s="118"/>
      <c r="R198" s="182">
        <f>R197</f>
        <v>0</v>
      </c>
      <c r="S198" s="119">
        <f>S197</f>
        <v>0</v>
      </c>
      <c r="T198" s="119" t="s">
        <v>251</v>
      </c>
      <c r="U198" s="166"/>
      <c r="V198" s="119"/>
      <c r="W198" s="119"/>
      <c r="X198" s="164"/>
      <c r="Y198" s="137">
        <f>Y197</f>
        <v>0</v>
      </c>
      <c r="Z198" s="166">
        <f>Z197</f>
        <v>0</v>
      </c>
      <c r="AA198" s="166" t="s">
        <v>251</v>
      </c>
      <c r="AB198" s="166"/>
      <c r="AC198" s="166"/>
      <c r="AD198" s="167"/>
    </row>
    <row r="199" spans="1:30" ht="15" customHeight="1">
      <c r="A199" s="265"/>
      <c r="B199" s="273"/>
      <c r="C199" s="118"/>
      <c r="D199" s="137">
        <f t="shared" ref="D199:D200" si="373">D198</f>
        <v>0</v>
      </c>
      <c r="E199" s="119">
        <f t="shared" ref="E199:E200" si="374">E198</f>
        <v>0</v>
      </c>
      <c r="F199" s="87"/>
      <c r="G199" s="92"/>
      <c r="H199" s="119"/>
      <c r="I199" s="119"/>
      <c r="J199" s="118"/>
      <c r="K199" s="182">
        <f t="shared" ref="K199:K200" si="375">K198</f>
        <v>0</v>
      </c>
      <c r="L199" s="119">
        <f t="shared" ref="L199:L200" si="376">L198</f>
        <v>0</v>
      </c>
      <c r="M199" s="87"/>
      <c r="N199" s="92"/>
      <c r="O199" s="119"/>
      <c r="P199" s="119"/>
      <c r="Q199" s="118"/>
      <c r="R199" s="182">
        <f t="shared" ref="R199:R200" si="377">R198</f>
        <v>0</v>
      </c>
      <c r="S199" s="119">
        <f t="shared" ref="S199:S200" si="378">S198</f>
        <v>0</v>
      </c>
      <c r="T199" s="119"/>
      <c r="U199" s="166"/>
      <c r="V199" s="119"/>
      <c r="W199" s="119"/>
      <c r="X199" s="164"/>
      <c r="Y199" s="137">
        <f t="shared" ref="Y199:Y200" si="379">Y198</f>
        <v>0</v>
      </c>
      <c r="Z199" s="166">
        <f t="shared" ref="Z199:Z200" si="380">Z198</f>
        <v>0</v>
      </c>
      <c r="AA199" s="166"/>
      <c r="AB199" s="166"/>
      <c r="AC199" s="166"/>
      <c r="AD199" s="167"/>
    </row>
    <row r="200" spans="1:30" ht="15.75" customHeight="1" thickBot="1">
      <c r="A200" s="266"/>
      <c r="B200" s="274"/>
      <c r="C200" s="120"/>
      <c r="D200" s="138">
        <f t="shared" si="373"/>
        <v>0</v>
      </c>
      <c r="E200" s="121">
        <f t="shared" si="374"/>
        <v>0</v>
      </c>
      <c r="F200" s="87"/>
      <c r="G200" s="92"/>
      <c r="H200" s="121"/>
      <c r="I200" s="121"/>
      <c r="J200" s="120"/>
      <c r="K200" s="183">
        <f t="shared" si="375"/>
        <v>0</v>
      </c>
      <c r="L200" s="121">
        <f t="shared" si="376"/>
        <v>0</v>
      </c>
      <c r="M200" s="87"/>
      <c r="N200" s="92"/>
      <c r="O200" s="121"/>
      <c r="P200" s="121"/>
      <c r="Q200" s="120"/>
      <c r="R200" s="183">
        <f t="shared" si="377"/>
        <v>0</v>
      </c>
      <c r="S200" s="121">
        <f t="shared" si="378"/>
        <v>0</v>
      </c>
      <c r="T200" s="121"/>
      <c r="U200" s="169"/>
      <c r="V200" s="121"/>
      <c r="W200" s="121"/>
      <c r="X200" s="168"/>
      <c r="Y200" s="138">
        <f t="shared" si="379"/>
        <v>0</v>
      </c>
      <c r="Z200" s="169">
        <f t="shared" si="380"/>
        <v>0</v>
      </c>
      <c r="AA200" s="169"/>
      <c r="AB200" s="169"/>
      <c r="AC200" s="169"/>
      <c r="AD200" s="170"/>
    </row>
    <row r="201" spans="1:30" ht="16.5" thickBot="1">
      <c r="A201" s="264" t="s">
        <v>268</v>
      </c>
      <c r="B201" s="86" t="s">
        <v>239</v>
      </c>
      <c r="C201" s="88"/>
      <c r="D201" s="127"/>
      <c r="E201" s="89"/>
      <c r="F201" s="97"/>
      <c r="G201" s="97" t="s">
        <v>291</v>
      </c>
      <c r="H201" s="89"/>
      <c r="I201" s="89"/>
      <c r="J201" s="88" t="s">
        <v>36</v>
      </c>
      <c r="K201" s="172" t="str">
        <f>'2 Licence'!C33</f>
        <v>Méthodes numériques</v>
      </c>
      <c r="L201" s="89" t="s">
        <v>36</v>
      </c>
      <c r="M201" s="97"/>
      <c r="N201" s="97" t="s">
        <v>286</v>
      </c>
      <c r="O201" s="89"/>
      <c r="P201" s="90" t="s">
        <v>262</v>
      </c>
      <c r="Q201" s="88"/>
      <c r="R201" s="172"/>
      <c r="S201" s="89"/>
      <c r="T201" s="100" t="s">
        <v>251</v>
      </c>
      <c r="U201" s="100" t="s">
        <v>284</v>
      </c>
      <c r="V201" s="89"/>
      <c r="W201" s="89"/>
      <c r="X201" s="139"/>
      <c r="Y201" s="127"/>
      <c r="Z201" s="90"/>
      <c r="AA201" s="90"/>
      <c r="AB201" s="90"/>
      <c r="AC201" s="90"/>
      <c r="AD201" s="140"/>
    </row>
    <row r="202" spans="1:30" ht="15" customHeight="1">
      <c r="A202" s="265"/>
      <c r="B202" s="267" t="s">
        <v>240</v>
      </c>
      <c r="C202" s="91"/>
      <c r="D202" s="128"/>
      <c r="E202" s="92"/>
      <c r="F202" s="100"/>
      <c r="G202" s="100"/>
      <c r="H202" s="92"/>
      <c r="I202" s="92"/>
      <c r="J202" s="91" t="s">
        <v>119</v>
      </c>
      <c r="K202" s="173" t="str">
        <f>'2 Licence'!C34</f>
        <v>Méthodes numériques</v>
      </c>
      <c r="L202" s="92" t="s">
        <v>36</v>
      </c>
      <c r="M202" s="100"/>
      <c r="N202" s="100" t="s">
        <v>287</v>
      </c>
      <c r="O202" s="92"/>
      <c r="P202" s="87" t="s">
        <v>263</v>
      </c>
      <c r="Q202" s="91"/>
      <c r="R202" s="173"/>
      <c r="S202" s="92"/>
      <c r="T202" s="100"/>
      <c r="U202" s="100" t="s">
        <v>284</v>
      </c>
      <c r="V202" s="92"/>
      <c r="W202" s="92"/>
      <c r="X202" s="141"/>
      <c r="Y202" s="128"/>
      <c r="Z202" s="87"/>
      <c r="AA202" s="87" t="s">
        <v>250</v>
      </c>
      <c r="AB202" s="87"/>
      <c r="AC202" s="87"/>
      <c r="AD202" s="142"/>
    </row>
    <row r="203" spans="1:30" ht="15" customHeight="1">
      <c r="A203" s="265"/>
      <c r="B203" s="268"/>
      <c r="C203" s="93"/>
      <c r="D203" s="128">
        <f>D202</f>
        <v>0</v>
      </c>
      <c r="E203" s="92">
        <f>E202</f>
        <v>0</v>
      </c>
      <c r="F203" s="100"/>
      <c r="G203" s="100"/>
      <c r="H203" s="92"/>
      <c r="I203" s="92"/>
      <c r="J203" s="93" t="s">
        <v>98</v>
      </c>
      <c r="K203" s="173" t="str">
        <f>K202</f>
        <v>Méthodes numériques</v>
      </c>
      <c r="L203" s="92" t="str">
        <f>L202</f>
        <v>N.Remili</v>
      </c>
      <c r="M203" s="100"/>
      <c r="N203" s="100" t="s">
        <v>289</v>
      </c>
      <c r="O203" s="92"/>
      <c r="P203" s="87" t="s">
        <v>263</v>
      </c>
      <c r="Q203" s="93"/>
      <c r="R203" s="173">
        <f>R202</f>
        <v>0</v>
      </c>
      <c r="S203" s="92">
        <f>S202</f>
        <v>0</v>
      </c>
      <c r="T203" s="100"/>
      <c r="U203" s="100"/>
      <c r="V203" s="92"/>
      <c r="W203" s="92"/>
      <c r="X203" s="143"/>
      <c r="Y203" s="128">
        <f>Y202</f>
        <v>0</v>
      </c>
      <c r="Z203" s="87">
        <f>Z202</f>
        <v>0</v>
      </c>
      <c r="AA203" s="87" t="s">
        <v>251</v>
      </c>
      <c r="AB203" s="87"/>
      <c r="AC203" s="87"/>
      <c r="AD203" s="142"/>
    </row>
    <row r="204" spans="1:30" ht="15" customHeight="1">
      <c r="A204" s="265"/>
      <c r="B204" s="268"/>
      <c r="C204" s="93"/>
      <c r="D204" s="128">
        <f t="shared" ref="D204:D206" si="381">D203</f>
        <v>0</v>
      </c>
      <c r="E204" s="92">
        <f t="shared" ref="E204:E206" si="382">E203</f>
        <v>0</v>
      </c>
      <c r="F204" s="100"/>
      <c r="G204" s="100"/>
      <c r="H204" s="92"/>
      <c r="I204" s="92"/>
      <c r="J204" s="93" t="s">
        <v>78</v>
      </c>
      <c r="K204" s="173" t="str">
        <f t="shared" ref="K204:K206" si="383">K203</f>
        <v>Méthodes numériques</v>
      </c>
      <c r="L204" s="92" t="str">
        <f t="shared" ref="L204:L206" si="384">L203</f>
        <v>N.Remili</v>
      </c>
      <c r="M204" s="100"/>
      <c r="N204" s="100" t="s">
        <v>290</v>
      </c>
      <c r="O204" s="92"/>
      <c r="P204" s="87" t="s">
        <v>263</v>
      </c>
      <c r="Q204" s="93"/>
      <c r="R204" s="173">
        <f t="shared" ref="R204:R206" si="385">R203</f>
        <v>0</v>
      </c>
      <c r="S204" s="92">
        <f t="shared" ref="S204:S206" si="386">S203</f>
        <v>0</v>
      </c>
      <c r="T204" s="103" t="s">
        <v>250</v>
      </c>
      <c r="U204" s="103" t="s">
        <v>285</v>
      </c>
      <c r="V204" s="92"/>
      <c r="W204" s="92"/>
      <c r="X204" s="143"/>
      <c r="Y204" s="128">
        <f t="shared" ref="Y204:Y206" si="387">Y203</f>
        <v>0</v>
      </c>
      <c r="Z204" s="87">
        <f t="shared" ref="Z204:Z206" si="388">Z203</f>
        <v>0</v>
      </c>
      <c r="AA204" s="87" t="s">
        <v>252</v>
      </c>
      <c r="AB204" s="87"/>
      <c r="AC204" s="87"/>
      <c r="AD204" s="142"/>
    </row>
    <row r="205" spans="1:30" ht="15" customHeight="1">
      <c r="A205" s="265"/>
      <c r="B205" s="268"/>
      <c r="C205" s="93"/>
      <c r="D205" s="128">
        <f t="shared" si="381"/>
        <v>0</v>
      </c>
      <c r="E205" s="92">
        <f t="shared" si="382"/>
        <v>0</v>
      </c>
      <c r="F205" s="100"/>
      <c r="G205" s="100"/>
      <c r="H205" s="92"/>
      <c r="I205" s="92"/>
      <c r="J205" s="93" t="s">
        <v>275</v>
      </c>
      <c r="K205" s="173" t="str">
        <f t="shared" si="383"/>
        <v>Méthodes numériques</v>
      </c>
      <c r="L205" s="92" t="str">
        <f t="shared" si="384"/>
        <v>N.Remili</v>
      </c>
      <c r="M205" s="100"/>
      <c r="N205" s="100" t="s">
        <v>291</v>
      </c>
      <c r="O205" s="92"/>
      <c r="P205" s="87" t="s">
        <v>263</v>
      </c>
      <c r="Q205" s="93"/>
      <c r="R205" s="173">
        <f t="shared" si="385"/>
        <v>0</v>
      </c>
      <c r="S205" s="92">
        <f t="shared" si="386"/>
        <v>0</v>
      </c>
      <c r="T205" s="103"/>
      <c r="U205" s="103" t="s">
        <v>285</v>
      </c>
      <c r="V205" s="92"/>
      <c r="W205" s="92"/>
      <c r="X205" s="143"/>
      <c r="Y205" s="128">
        <f t="shared" si="387"/>
        <v>0</v>
      </c>
      <c r="Z205" s="87">
        <f t="shared" si="388"/>
        <v>0</v>
      </c>
      <c r="AA205" s="87"/>
      <c r="AB205" s="87"/>
      <c r="AC205" s="87"/>
      <c r="AD205" s="142"/>
    </row>
    <row r="206" spans="1:30" ht="15" customHeight="1">
      <c r="A206" s="265"/>
      <c r="B206" s="268"/>
      <c r="C206" s="94"/>
      <c r="D206" s="128">
        <f t="shared" si="381"/>
        <v>0</v>
      </c>
      <c r="E206" s="92">
        <f t="shared" si="382"/>
        <v>0</v>
      </c>
      <c r="F206" s="103"/>
      <c r="G206" s="103"/>
      <c r="H206" s="92"/>
      <c r="I206" s="92"/>
      <c r="J206" s="94" t="s">
        <v>36</v>
      </c>
      <c r="K206" s="173" t="str">
        <f t="shared" si="383"/>
        <v>Méthodes numériques</v>
      </c>
      <c r="L206" s="92" t="str">
        <f t="shared" si="384"/>
        <v>N.Remili</v>
      </c>
      <c r="M206" s="103"/>
      <c r="N206" s="103"/>
      <c r="O206" s="92"/>
      <c r="P206" s="87" t="s">
        <v>263</v>
      </c>
      <c r="Q206" s="94"/>
      <c r="R206" s="173">
        <f t="shared" si="385"/>
        <v>0</v>
      </c>
      <c r="S206" s="92">
        <f t="shared" si="386"/>
        <v>0</v>
      </c>
      <c r="T206" s="103"/>
      <c r="U206" s="103" t="s">
        <v>285</v>
      </c>
      <c r="V206" s="92"/>
      <c r="W206" s="92"/>
      <c r="X206" s="144"/>
      <c r="Y206" s="128">
        <f t="shared" si="387"/>
        <v>0</v>
      </c>
      <c r="Z206" s="87">
        <f t="shared" si="388"/>
        <v>0</v>
      </c>
      <c r="AA206" s="87"/>
      <c r="AB206" s="87"/>
      <c r="AC206" s="87"/>
      <c r="AD206" s="142"/>
    </row>
    <row r="207" spans="1:30" ht="15.75">
      <c r="A207" s="265"/>
      <c r="B207" s="79" t="s">
        <v>241</v>
      </c>
      <c r="C207" s="95" t="s">
        <v>78</v>
      </c>
      <c r="D207" s="129" t="str">
        <f>'3 Licence'!C39</f>
        <v>Acier et alliages spéciaux</v>
      </c>
      <c r="E207" s="96" t="s">
        <v>78</v>
      </c>
      <c r="F207" s="103"/>
      <c r="G207" s="103" t="s">
        <v>287</v>
      </c>
      <c r="H207" s="96"/>
      <c r="I207" s="96" t="str">
        <f>$B$42</f>
        <v>L3 Métallurgie</v>
      </c>
      <c r="J207" s="95"/>
      <c r="K207" s="174"/>
      <c r="L207" s="96"/>
      <c r="M207" s="103"/>
      <c r="N207" s="103"/>
      <c r="O207" s="96"/>
      <c r="P207" s="96"/>
      <c r="Q207" s="95"/>
      <c r="R207" s="174"/>
      <c r="S207" s="96"/>
      <c r="T207" s="103"/>
      <c r="U207" s="103"/>
      <c r="V207" s="96"/>
      <c r="W207" s="96" t="str">
        <f>$B$42</f>
        <v>L3 Métallurgie</v>
      </c>
      <c r="X207" s="145"/>
      <c r="Y207" s="129"/>
      <c r="Z207" s="97"/>
      <c r="AA207" s="97"/>
      <c r="AB207" s="97"/>
      <c r="AC207" s="97"/>
      <c r="AD207" s="146"/>
    </row>
    <row r="208" spans="1:30" ht="15" customHeight="1">
      <c r="A208" s="265"/>
      <c r="B208" s="269" t="s">
        <v>242</v>
      </c>
      <c r="C208" s="98" t="s">
        <v>122</v>
      </c>
      <c r="D208" s="130" t="str">
        <f>'3 Licence'!C40</f>
        <v>Dynamique des structures</v>
      </c>
      <c r="E208" s="99" t="s">
        <v>122</v>
      </c>
      <c r="F208" s="103" t="s">
        <v>250</v>
      </c>
      <c r="G208" s="103" t="s">
        <v>284</v>
      </c>
      <c r="H208" s="99"/>
      <c r="I208" s="99" t="str">
        <f>$B$43</f>
        <v>L3 Construction</v>
      </c>
      <c r="J208" s="98"/>
      <c r="K208" s="175"/>
      <c r="L208" s="99"/>
      <c r="M208" s="103" t="s">
        <v>250</v>
      </c>
      <c r="N208" s="103"/>
      <c r="O208" s="99"/>
      <c r="P208" s="99"/>
      <c r="Q208" s="98"/>
      <c r="R208" s="175"/>
      <c r="S208" s="99"/>
      <c r="T208" s="106"/>
      <c r="U208" s="106" t="s">
        <v>288</v>
      </c>
      <c r="V208" s="99"/>
      <c r="W208" s="99" t="str">
        <f>$B$43</f>
        <v>L3 Construction</v>
      </c>
      <c r="X208" s="147"/>
      <c r="Y208" s="130"/>
      <c r="Z208" s="100"/>
      <c r="AA208" s="100" t="s">
        <v>250</v>
      </c>
      <c r="AB208" s="100"/>
      <c r="AC208" s="100"/>
      <c r="AD208" s="148"/>
    </row>
    <row r="209" spans="1:30" ht="15" customHeight="1">
      <c r="A209" s="265"/>
      <c r="B209" s="269"/>
      <c r="C209" s="98" t="s">
        <v>47</v>
      </c>
      <c r="D209" s="130" t="str">
        <f>D208</f>
        <v>Dynamique des structures</v>
      </c>
      <c r="E209" s="99" t="str">
        <f>E208</f>
        <v>M.N.Amrane</v>
      </c>
      <c r="F209" s="103" t="s">
        <v>250</v>
      </c>
      <c r="G209" s="103" t="s">
        <v>284</v>
      </c>
      <c r="H209" s="99"/>
      <c r="I209" s="99" t="str">
        <f t="shared" ref="I209:I211" si="389">$B$43</f>
        <v>L3 Construction</v>
      </c>
      <c r="J209" s="98"/>
      <c r="K209" s="175">
        <f>K208</f>
        <v>0</v>
      </c>
      <c r="L209" s="99">
        <f>L208</f>
        <v>0</v>
      </c>
      <c r="M209" s="103" t="s">
        <v>250</v>
      </c>
      <c r="N209" s="103"/>
      <c r="O209" s="99"/>
      <c r="P209" s="99"/>
      <c r="Q209" s="98"/>
      <c r="R209" s="175">
        <f>R208</f>
        <v>0</v>
      </c>
      <c r="S209" s="99">
        <f>S208</f>
        <v>0</v>
      </c>
      <c r="T209" s="109" t="s">
        <v>250</v>
      </c>
      <c r="U209" s="109" t="s">
        <v>286</v>
      </c>
      <c r="V209" s="99"/>
      <c r="W209" s="99" t="str">
        <f t="shared" ref="W209:W211" si="390">$B$43</f>
        <v>L3 Construction</v>
      </c>
      <c r="X209" s="147"/>
      <c r="Y209" s="130">
        <f>Y208</f>
        <v>0</v>
      </c>
      <c r="Z209" s="100">
        <f>Z208</f>
        <v>0</v>
      </c>
      <c r="AA209" s="100" t="s">
        <v>251</v>
      </c>
      <c r="AB209" s="100"/>
      <c r="AC209" s="100"/>
      <c r="AD209" s="148"/>
    </row>
    <row r="210" spans="1:30" ht="15" customHeight="1">
      <c r="A210" s="265"/>
      <c r="B210" s="269"/>
      <c r="C210" s="98" t="s">
        <v>42</v>
      </c>
      <c r="D210" s="130" t="str">
        <f t="shared" ref="D210:D211" si="391">D209</f>
        <v>Dynamique des structures</v>
      </c>
      <c r="E210" s="99" t="str">
        <f t="shared" ref="E210:E211" si="392">E209</f>
        <v>M.N.Amrane</v>
      </c>
      <c r="F210" s="106"/>
      <c r="G210" s="106"/>
      <c r="H210" s="99"/>
      <c r="I210" s="99" t="str">
        <f t="shared" si="389"/>
        <v>L3 Construction</v>
      </c>
      <c r="J210" s="98"/>
      <c r="K210" s="175">
        <f t="shared" ref="K210:K211" si="393">K209</f>
        <v>0</v>
      </c>
      <c r="L210" s="99">
        <f t="shared" ref="L210:L211" si="394">L209</f>
        <v>0</v>
      </c>
      <c r="M210" s="106"/>
      <c r="N210" s="106"/>
      <c r="O210" s="99"/>
      <c r="P210" s="99"/>
      <c r="Q210" s="98"/>
      <c r="R210" s="175">
        <f t="shared" ref="R210:R211" si="395">R209</f>
        <v>0</v>
      </c>
      <c r="S210" s="99">
        <f t="shared" ref="S210:S211" si="396">S209</f>
        <v>0</v>
      </c>
      <c r="T210" s="109" t="s">
        <v>251</v>
      </c>
      <c r="U210" s="109" t="s">
        <v>286</v>
      </c>
      <c r="V210" s="99"/>
      <c r="W210" s="99" t="str">
        <f t="shared" si="390"/>
        <v>L3 Construction</v>
      </c>
      <c r="X210" s="147"/>
      <c r="Y210" s="130">
        <f t="shared" ref="Y210:Y211" si="397">Y209</f>
        <v>0</v>
      </c>
      <c r="Z210" s="100">
        <f t="shared" ref="Z210:Z211" si="398">Z209</f>
        <v>0</v>
      </c>
      <c r="AA210" s="100"/>
      <c r="AB210" s="100"/>
      <c r="AC210" s="100"/>
      <c r="AD210" s="148"/>
    </row>
    <row r="211" spans="1:30" ht="15" customHeight="1">
      <c r="A211" s="265"/>
      <c r="B211" s="269"/>
      <c r="C211" s="98"/>
      <c r="D211" s="130" t="str">
        <f t="shared" si="391"/>
        <v>Dynamique des structures</v>
      </c>
      <c r="E211" s="99" t="str">
        <f t="shared" si="392"/>
        <v>M.N.Amrane</v>
      </c>
      <c r="F211" s="109"/>
      <c r="G211" s="109"/>
      <c r="H211" s="99"/>
      <c r="I211" s="99" t="str">
        <f t="shared" si="389"/>
        <v>L3 Construction</v>
      </c>
      <c r="J211" s="98"/>
      <c r="K211" s="175">
        <f t="shared" si="393"/>
        <v>0</v>
      </c>
      <c r="L211" s="99">
        <f t="shared" si="394"/>
        <v>0</v>
      </c>
      <c r="M211" s="109"/>
      <c r="N211" s="109"/>
      <c r="O211" s="99"/>
      <c r="P211" s="99"/>
      <c r="Q211" s="98"/>
      <c r="R211" s="175">
        <f t="shared" si="395"/>
        <v>0</v>
      </c>
      <c r="S211" s="99">
        <f t="shared" si="396"/>
        <v>0</v>
      </c>
      <c r="T211" s="109"/>
      <c r="U211" s="109" t="s">
        <v>286</v>
      </c>
      <c r="V211" s="99"/>
      <c r="W211" s="99" t="str">
        <f t="shared" si="390"/>
        <v>L3 Construction</v>
      </c>
      <c r="X211" s="147"/>
      <c r="Y211" s="130">
        <f t="shared" si="397"/>
        <v>0</v>
      </c>
      <c r="Z211" s="100">
        <f t="shared" si="398"/>
        <v>0</v>
      </c>
      <c r="AA211" s="100"/>
      <c r="AB211" s="100"/>
      <c r="AC211" s="100"/>
      <c r="AD211" s="148"/>
    </row>
    <row r="212" spans="1:30" ht="15" customHeight="1">
      <c r="A212" s="265"/>
      <c r="B212" s="270" t="s">
        <v>243</v>
      </c>
      <c r="C212" s="101" t="s">
        <v>272</v>
      </c>
      <c r="D212" s="131" t="str">
        <f>'3 Licence'!C42</f>
        <v>Machines frigorifique et pompes à chaleur</v>
      </c>
      <c r="E212" s="102" t="s">
        <v>272</v>
      </c>
      <c r="F212" s="109" t="s">
        <v>250</v>
      </c>
      <c r="G212" s="109" t="s">
        <v>285</v>
      </c>
      <c r="H212" s="102"/>
      <c r="I212" s="102" t="str">
        <f>$B$47</f>
        <v>L3 Energétique</v>
      </c>
      <c r="J212" s="101"/>
      <c r="K212" s="176"/>
      <c r="L212" s="102"/>
      <c r="M212" s="109" t="s">
        <v>250</v>
      </c>
      <c r="N212" s="109"/>
      <c r="O212" s="102"/>
      <c r="P212" s="102"/>
      <c r="Q212" s="101"/>
      <c r="R212" s="176"/>
      <c r="S212" s="102"/>
      <c r="T212" s="109"/>
      <c r="U212" s="109"/>
      <c r="V212" s="102"/>
      <c r="W212" s="102" t="str">
        <f>$B$47</f>
        <v>L3 Energétique</v>
      </c>
      <c r="X212" s="149"/>
      <c r="Y212" s="131"/>
      <c r="Z212" s="103"/>
      <c r="AA212" s="103" t="s">
        <v>250</v>
      </c>
      <c r="AB212" s="103"/>
      <c r="AC212" s="103"/>
      <c r="AD212" s="150"/>
    </row>
    <row r="213" spans="1:30" ht="15" customHeight="1">
      <c r="A213" s="265"/>
      <c r="B213" s="270"/>
      <c r="C213" s="101" t="s">
        <v>273</v>
      </c>
      <c r="D213" s="131" t="str">
        <f>D212</f>
        <v>Machines frigorifique et pompes à chaleur</v>
      </c>
      <c r="E213" s="102" t="str">
        <f>E212</f>
        <v>O.Hamdi</v>
      </c>
      <c r="F213" s="109"/>
      <c r="G213" s="109"/>
      <c r="H213" s="102"/>
      <c r="I213" s="102" t="str">
        <f t="shared" ref="I213:I215" si="399">$B$47</f>
        <v>L3 Energétique</v>
      </c>
      <c r="J213" s="101"/>
      <c r="K213" s="176">
        <f>K212</f>
        <v>0</v>
      </c>
      <c r="L213" s="102">
        <f>L212</f>
        <v>0</v>
      </c>
      <c r="M213" s="109"/>
      <c r="N213" s="109"/>
      <c r="O213" s="102"/>
      <c r="P213" s="102"/>
      <c r="Q213" s="101"/>
      <c r="R213" s="176">
        <f>R212</f>
        <v>0</v>
      </c>
      <c r="S213" s="102">
        <f>S212</f>
        <v>0</v>
      </c>
      <c r="T213" s="112" t="s">
        <v>250</v>
      </c>
      <c r="U213" s="112" t="s">
        <v>289</v>
      </c>
      <c r="V213" s="102"/>
      <c r="W213" s="102" t="str">
        <f t="shared" ref="W213:W215" si="400">$B$47</f>
        <v>L3 Energétique</v>
      </c>
      <c r="X213" s="149"/>
      <c r="Y213" s="131">
        <f>Y212</f>
        <v>0</v>
      </c>
      <c r="Z213" s="103">
        <f>Z212</f>
        <v>0</v>
      </c>
      <c r="AA213" s="103" t="s">
        <v>251</v>
      </c>
      <c r="AB213" s="103"/>
      <c r="AC213" s="103"/>
      <c r="AD213" s="150"/>
    </row>
    <row r="214" spans="1:30" ht="15" customHeight="1">
      <c r="A214" s="265"/>
      <c r="B214" s="270"/>
      <c r="C214" s="101"/>
      <c r="D214" s="131"/>
      <c r="E214" s="102"/>
      <c r="F214" s="109"/>
      <c r="G214" s="109"/>
      <c r="H214" s="102"/>
      <c r="I214" s="102" t="str">
        <f t="shared" si="399"/>
        <v>L3 Energétique</v>
      </c>
      <c r="J214" s="101"/>
      <c r="K214" s="176">
        <f t="shared" ref="K214:K215" si="401">K213</f>
        <v>0</v>
      </c>
      <c r="L214" s="102">
        <f t="shared" ref="L214:L215" si="402">L213</f>
        <v>0</v>
      </c>
      <c r="M214" s="109"/>
      <c r="N214" s="109"/>
      <c r="O214" s="102"/>
      <c r="P214" s="102"/>
      <c r="Q214" s="101"/>
      <c r="R214" s="176">
        <f t="shared" ref="R214:R215" si="403">R213</f>
        <v>0</v>
      </c>
      <c r="S214" s="102">
        <f t="shared" ref="S214:S215" si="404">S213</f>
        <v>0</v>
      </c>
      <c r="T214" s="112" t="s">
        <v>251</v>
      </c>
      <c r="U214" s="112" t="s">
        <v>290</v>
      </c>
      <c r="V214" s="102"/>
      <c r="W214" s="102" t="str">
        <f t="shared" si="400"/>
        <v>L3 Energétique</v>
      </c>
      <c r="X214" s="149"/>
      <c r="Y214" s="131">
        <f t="shared" ref="Y214:Y215" si="405">Y213</f>
        <v>0</v>
      </c>
      <c r="Z214" s="103">
        <f t="shared" ref="Z214:Z215" si="406">Z213</f>
        <v>0</v>
      </c>
      <c r="AA214" s="103"/>
      <c r="AB214" s="103"/>
      <c r="AC214" s="103"/>
      <c r="AD214" s="150"/>
    </row>
    <row r="215" spans="1:30" ht="15" customHeight="1">
      <c r="A215" s="265"/>
      <c r="B215" s="270"/>
      <c r="C215" s="101"/>
      <c r="D215" s="131"/>
      <c r="E215" s="102"/>
      <c r="F215" s="112"/>
      <c r="G215" s="112"/>
      <c r="H215" s="102"/>
      <c r="I215" s="102" t="str">
        <f t="shared" si="399"/>
        <v>L3 Energétique</v>
      </c>
      <c r="J215" s="101"/>
      <c r="K215" s="176">
        <f t="shared" si="401"/>
        <v>0</v>
      </c>
      <c r="L215" s="102">
        <f t="shared" si="402"/>
        <v>0</v>
      </c>
      <c r="M215" s="112"/>
      <c r="N215" s="112"/>
      <c r="O215" s="102"/>
      <c r="P215" s="102"/>
      <c r="Q215" s="101"/>
      <c r="R215" s="176">
        <f t="shared" si="403"/>
        <v>0</v>
      </c>
      <c r="S215" s="102">
        <f t="shared" si="404"/>
        <v>0</v>
      </c>
      <c r="T215" s="112"/>
      <c r="U215" s="112"/>
      <c r="V215" s="102"/>
      <c r="W215" s="102" t="str">
        <f t="shared" si="400"/>
        <v>L3 Energétique</v>
      </c>
      <c r="X215" s="149"/>
      <c r="Y215" s="131">
        <f t="shared" si="405"/>
        <v>0</v>
      </c>
      <c r="Z215" s="103">
        <f t="shared" si="406"/>
        <v>0</v>
      </c>
      <c r="AA215" s="103"/>
      <c r="AB215" s="103"/>
      <c r="AC215" s="103"/>
      <c r="AD215" s="150"/>
    </row>
    <row r="216" spans="1:30" ht="15.75">
      <c r="A216" s="265"/>
      <c r="B216" s="80" t="s">
        <v>244</v>
      </c>
      <c r="C216" s="104" t="s">
        <v>275</v>
      </c>
      <c r="D216" s="132" t="str">
        <f>'Maset I'!C39</f>
        <v>Métallurgie des poudres</v>
      </c>
      <c r="E216" s="123" t="s">
        <v>275</v>
      </c>
      <c r="F216" s="112"/>
      <c r="G216" s="112" t="s">
        <v>293</v>
      </c>
      <c r="H216" s="105"/>
      <c r="I216" s="105" t="str">
        <f>$B$51</f>
        <v>M1 Métallurgie</v>
      </c>
      <c r="J216" s="104"/>
      <c r="K216" s="177"/>
      <c r="L216" s="123"/>
      <c r="M216" s="112"/>
      <c r="N216" s="112"/>
      <c r="O216" s="105"/>
      <c r="P216" s="105"/>
      <c r="Q216" s="104"/>
      <c r="R216" s="177"/>
      <c r="S216" s="123"/>
      <c r="T216" s="112"/>
      <c r="U216" s="112"/>
      <c r="V216" s="105"/>
      <c r="W216" s="105" t="str">
        <f>$B$51</f>
        <v>M1 Métallurgie</v>
      </c>
      <c r="X216" s="151"/>
      <c r="Y216" s="132"/>
      <c r="Z216" s="152"/>
      <c r="AA216" s="106"/>
      <c r="AB216" s="106"/>
      <c r="AC216" s="106"/>
      <c r="AD216" s="153"/>
    </row>
    <row r="217" spans="1:30" ht="15" customHeight="1">
      <c r="A217" s="265"/>
      <c r="B217" s="271" t="s">
        <v>245</v>
      </c>
      <c r="C217" s="107" t="s">
        <v>55</v>
      </c>
      <c r="D217" s="133" t="str">
        <f>'Maset I'!C40</f>
        <v>Conception de système mécaniques</v>
      </c>
      <c r="E217" s="126" t="s">
        <v>57</v>
      </c>
      <c r="F217" s="112"/>
      <c r="G217" s="112" t="s">
        <v>286</v>
      </c>
      <c r="H217" s="108"/>
      <c r="I217" s="108" t="str">
        <f>$B$52</f>
        <v>M1 Construction</v>
      </c>
      <c r="J217" s="107"/>
      <c r="K217" s="178"/>
      <c r="L217" s="126"/>
      <c r="M217" s="112"/>
      <c r="N217" s="112"/>
      <c r="O217" s="108"/>
      <c r="P217" s="108"/>
      <c r="Q217" s="107"/>
      <c r="R217" s="178"/>
      <c r="S217" s="126"/>
      <c r="T217" s="115"/>
      <c r="U217" s="115"/>
      <c r="V217" s="108"/>
      <c r="W217" s="108" t="str">
        <f>$B$52</f>
        <v>M1 Construction</v>
      </c>
      <c r="X217" s="154"/>
      <c r="Y217" s="133"/>
      <c r="Z217" s="155"/>
      <c r="AA217" s="109" t="s">
        <v>250</v>
      </c>
      <c r="AB217" s="109"/>
      <c r="AC217" s="109"/>
      <c r="AD217" s="156"/>
    </row>
    <row r="218" spans="1:30" ht="15" customHeight="1">
      <c r="A218" s="265"/>
      <c r="B218" s="271"/>
      <c r="C218" s="107" t="s">
        <v>119</v>
      </c>
      <c r="D218" s="133" t="str">
        <f>D217</f>
        <v>Conception de système mécaniques</v>
      </c>
      <c r="E218" s="108" t="str">
        <f>E217</f>
        <v>M.Benmachiche</v>
      </c>
      <c r="F218" s="112"/>
      <c r="G218" s="112"/>
      <c r="H218" s="108"/>
      <c r="I218" s="108" t="str">
        <f t="shared" ref="I218:I220" si="407">$B$52</f>
        <v>M1 Construction</v>
      </c>
      <c r="J218" s="107"/>
      <c r="K218" s="178">
        <f>K217</f>
        <v>0</v>
      </c>
      <c r="L218" s="108">
        <f>L217</f>
        <v>0</v>
      </c>
      <c r="M218" s="112"/>
      <c r="N218" s="112"/>
      <c r="O218" s="108"/>
      <c r="P218" s="108"/>
      <c r="Q218" s="107"/>
      <c r="R218" s="178">
        <f>R217</f>
        <v>0</v>
      </c>
      <c r="S218" s="108">
        <f>S217</f>
        <v>0</v>
      </c>
      <c r="T218" s="117" t="s">
        <v>250</v>
      </c>
      <c r="U218" s="117"/>
      <c r="V218" s="108"/>
      <c r="W218" s="108" t="str">
        <f t="shared" ref="W218:W220" si="408">$B$52</f>
        <v>M1 Construction</v>
      </c>
      <c r="X218" s="154"/>
      <c r="Y218" s="133">
        <f>Y217</f>
        <v>0</v>
      </c>
      <c r="Z218" s="109">
        <f>Z217</f>
        <v>0</v>
      </c>
      <c r="AA218" s="109" t="s">
        <v>251</v>
      </c>
      <c r="AB218" s="109"/>
      <c r="AC218" s="109"/>
      <c r="AD218" s="156"/>
    </row>
    <row r="219" spans="1:30" ht="15" customHeight="1">
      <c r="A219" s="265"/>
      <c r="B219" s="271"/>
      <c r="C219" s="107" t="s">
        <v>61</v>
      </c>
      <c r="D219" s="133" t="str">
        <f t="shared" ref="D219:D220" si="409">D218</f>
        <v>Conception de système mécaniques</v>
      </c>
      <c r="E219" s="108" t="str">
        <f t="shared" ref="E219:E220" si="410">E218</f>
        <v>M.Benmachiche</v>
      </c>
      <c r="F219" s="115"/>
      <c r="G219" s="115"/>
      <c r="H219" s="108"/>
      <c r="I219" s="108" t="str">
        <f t="shared" si="407"/>
        <v>M1 Construction</v>
      </c>
      <c r="J219" s="107"/>
      <c r="K219" s="178">
        <f t="shared" ref="K219:K220" si="411">K218</f>
        <v>0</v>
      </c>
      <c r="L219" s="108">
        <f t="shared" ref="L219:L220" si="412">L218</f>
        <v>0</v>
      </c>
      <c r="M219" s="115"/>
      <c r="N219" s="115"/>
      <c r="O219" s="108"/>
      <c r="P219" s="108"/>
      <c r="Q219" s="107"/>
      <c r="R219" s="178">
        <f t="shared" ref="R219:R220" si="413">R218</f>
        <v>0</v>
      </c>
      <c r="S219" s="108">
        <f t="shared" ref="S219:S220" si="414">S218</f>
        <v>0</v>
      </c>
      <c r="T219" s="117" t="s">
        <v>251</v>
      </c>
      <c r="U219" s="117"/>
      <c r="V219" s="108"/>
      <c r="W219" s="108" t="str">
        <f t="shared" si="408"/>
        <v>M1 Construction</v>
      </c>
      <c r="X219" s="154"/>
      <c r="Y219" s="133">
        <f t="shared" ref="Y219:Y220" si="415">Y218</f>
        <v>0</v>
      </c>
      <c r="Z219" s="109">
        <f t="shared" ref="Z219:Z220" si="416">Z218</f>
        <v>0</v>
      </c>
      <c r="AA219" s="109"/>
      <c r="AB219" s="109"/>
      <c r="AC219" s="109"/>
      <c r="AD219" s="156"/>
    </row>
    <row r="220" spans="1:30" ht="15" customHeight="1">
      <c r="A220" s="265"/>
      <c r="B220" s="271"/>
      <c r="C220" s="107" t="s">
        <v>57</v>
      </c>
      <c r="D220" s="133" t="str">
        <f t="shared" si="409"/>
        <v>Conception de système mécaniques</v>
      </c>
      <c r="E220" s="108" t="str">
        <f t="shared" si="410"/>
        <v>M.Benmachiche</v>
      </c>
      <c r="F220" s="117"/>
      <c r="G220" s="117"/>
      <c r="H220" s="108"/>
      <c r="I220" s="108" t="str">
        <f t="shared" si="407"/>
        <v>M1 Construction</v>
      </c>
      <c r="J220" s="107"/>
      <c r="K220" s="178">
        <f t="shared" si="411"/>
        <v>0</v>
      </c>
      <c r="L220" s="108">
        <f t="shared" si="412"/>
        <v>0</v>
      </c>
      <c r="M220" s="117"/>
      <c r="N220" s="117"/>
      <c r="O220" s="108"/>
      <c r="P220" s="108"/>
      <c r="Q220" s="107"/>
      <c r="R220" s="178">
        <f t="shared" si="413"/>
        <v>0</v>
      </c>
      <c r="S220" s="108">
        <f t="shared" si="414"/>
        <v>0</v>
      </c>
      <c r="T220" s="116"/>
      <c r="U220" s="117"/>
      <c r="V220" s="108"/>
      <c r="W220" s="108" t="str">
        <f t="shared" si="408"/>
        <v>M1 Construction</v>
      </c>
      <c r="X220" s="154"/>
      <c r="Y220" s="133">
        <f t="shared" si="415"/>
        <v>0</v>
      </c>
      <c r="Z220" s="109">
        <f t="shared" si="416"/>
        <v>0</v>
      </c>
      <c r="AA220" s="109"/>
      <c r="AB220" s="109"/>
      <c r="AC220" s="109"/>
      <c r="AD220" s="156"/>
    </row>
    <row r="221" spans="1:30" ht="15" customHeight="1">
      <c r="A221" s="265"/>
      <c r="B221" s="272" t="s">
        <v>246</v>
      </c>
      <c r="C221" s="110" t="s">
        <v>38</v>
      </c>
      <c r="D221" s="134" t="str">
        <f>'Maset I'!C42</f>
        <v>Séchage thermique</v>
      </c>
      <c r="E221" s="124" t="s">
        <v>98</v>
      </c>
      <c r="F221" s="117" t="s">
        <v>250</v>
      </c>
      <c r="G221" s="117" t="s">
        <v>289</v>
      </c>
      <c r="H221" s="111"/>
      <c r="I221" s="111" t="str">
        <f>$B$56</f>
        <v>M1 Energétique</v>
      </c>
      <c r="J221" s="110"/>
      <c r="K221" s="179"/>
      <c r="L221" s="124"/>
      <c r="M221" s="117" t="s">
        <v>250</v>
      </c>
      <c r="N221" s="117"/>
      <c r="O221" s="111"/>
      <c r="P221" s="111"/>
      <c r="Q221" s="110"/>
      <c r="R221" s="179"/>
      <c r="S221" s="124"/>
      <c r="T221" s="116"/>
      <c r="U221" s="117"/>
      <c r="V221" s="111"/>
      <c r="W221" s="111" t="str">
        <f>$B$56</f>
        <v>M1 Energétique</v>
      </c>
      <c r="X221" s="157"/>
      <c r="Y221" s="134"/>
      <c r="Z221" s="158"/>
      <c r="AA221" s="112" t="s">
        <v>250</v>
      </c>
      <c r="AB221" s="112"/>
      <c r="AC221" s="112"/>
      <c r="AD221" s="159"/>
    </row>
    <row r="222" spans="1:30" ht="15" customHeight="1">
      <c r="A222" s="265"/>
      <c r="B222" s="272"/>
      <c r="C222" s="110" t="s">
        <v>274</v>
      </c>
      <c r="D222" s="134" t="str">
        <f>D221</f>
        <v>Séchage thermique</v>
      </c>
      <c r="E222" s="111" t="str">
        <f>E221</f>
        <v>A.Moummi</v>
      </c>
      <c r="F222" s="116" t="s">
        <v>292</v>
      </c>
      <c r="G222" s="117" t="s">
        <v>290</v>
      </c>
      <c r="H222" s="111"/>
      <c r="I222" s="111" t="str">
        <f t="shared" ref="I222:I224" si="417">$B$56</f>
        <v>M1 Energétique</v>
      </c>
      <c r="J222" s="110"/>
      <c r="K222" s="179">
        <f>K221</f>
        <v>0</v>
      </c>
      <c r="L222" s="111">
        <f>L221</f>
        <v>0</v>
      </c>
      <c r="M222" s="116" t="s">
        <v>292</v>
      </c>
      <c r="N222" s="117" t="s">
        <v>290</v>
      </c>
      <c r="O222" s="111"/>
      <c r="P222" s="111"/>
      <c r="Q222" s="110"/>
      <c r="R222" s="179">
        <f>R221</f>
        <v>0</v>
      </c>
      <c r="S222" s="111">
        <f>S221</f>
        <v>0</v>
      </c>
      <c r="T222" s="119" t="s">
        <v>250</v>
      </c>
      <c r="U222" s="166"/>
      <c r="V222" s="111"/>
      <c r="W222" s="111" t="str">
        <f t="shared" ref="W222:W224" si="418">$B$56</f>
        <v>M1 Energétique</v>
      </c>
      <c r="X222" s="157"/>
      <c r="Y222" s="134">
        <f>Y221</f>
        <v>0</v>
      </c>
      <c r="Z222" s="112">
        <f>Z221</f>
        <v>0</v>
      </c>
      <c r="AA222" s="112" t="s">
        <v>251</v>
      </c>
      <c r="AB222" s="112"/>
      <c r="AC222" s="112"/>
      <c r="AD222" s="159"/>
    </row>
    <row r="223" spans="1:30" ht="15" customHeight="1">
      <c r="A223" s="265"/>
      <c r="B223" s="272"/>
      <c r="C223" s="110" t="s">
        <v>36</v>
      </c>
      <c r="D223" s="134" t="str">
        <f t="shared" ref="D223:D224" si="419">D222</f>
        <v>Séchage thermique</v>
      </c>
      <c r="E223" s="111" t="str">
        <f t="shared" ref="E223:E224" si="420">E222</f>
        <v>A.Moummi</v>
      </c>
      <c r="F223" s="116"/>
      <c r="G223" s="117"/>
      <c r="H223" s="111"/>
      <c r="I223" s="111" t="str">
        <f t="shared" si="417"/>
        <v>M1 Energétique</v>
      </c>
      <c r="J223" s="110"/>
      <c r="K223" s="179">
        <f t="shared" ref="K223:K224" si="421">K222</f>
        <v>0</v>
      </c>
      <c r="L223" s="111">
        <f t="shared" ref="L223:L224" si="422">L222</f>
        <v>0</v>
      </c>
      <c r="M223" s="116"/>
      <c r="N223" s="117"/>
      <c r="O223" s="111"/>
      <c r="P223" s="111"/>
      <c r="Q223" s="110"/>
      <c r="R223" s="179">
        <f t="shared" ref="R223:R224" si="423">R222</f>
        <v>0</v>
      </c>
      <c r="S223" s="111">
        <f t="shared" ref="S223:S224" si="424">S222</f>
        <v>0</v>
      </c>
      <c r="T223" s="119" t="s">
        <v>251</v>
      </c>
      <c r="U223" s="166"/>
      <c r="V223" s="111"/>
      <c r="W223" s="111" t="str">
        <f t="shared" si="418"/>
        <v>M1 Energétique</v>
      </c>
      <c r="X223" s="157"/>
      <c r="Y223" s="134">
        <f t="shared" ref="Y223:Y224" si="425">Y222</f>
        <v>0</v>
      </c>
      <c r="Z223" s="112">
        <f t="shared" ref="Z223:Z224" si="426">Z222</f>
        <v>0</v>
      </c>
      <c r="AA223" s="112"/>
      <c r="AB223" s="112"/>
      <c r="AC223" s="112"/>
      <c r="AD223" s="159"/>
    </row>
    <row r="224" spans="1:30" ht="15" customHeight="1">
      <c r="A224" s="265"/>
      <c r="B224" s="272"/>
      <c r="C224" s="110" t="s">
        <v>98</v>
      </c>
      <c r="D224" s="134" t="str">
        <f t="shared" si="419"/>
        <v>Séchage thermique</v>
      </c>
      <c r="E224" s="111" t="str">
        <f t="shared" si="420"/>
        <v>A.Moummi</v>
      </c>
      <c r="F224" s="119"/>
      <c r="G224" s="166"/>
      <c r="H224" s="111"/>
      <c r="I224" s="111" t="str">
        <f t="shared" si="417"/>
        <v>M1 Energétique</v>
      </c>
      <c r="J224" s="110"/>
      <c r="K224" s="179">
        <f t="shared" si="421"/>
        <v>0</v>
      </c>
      <c r="L224" s="111">
        <f t="shared" si="422"/>
        <v>0</v>
      </c>
      <c r="M224" s="119"/>
      <c r="N224" s="166"/>
      <c r="O224" s="111"/>
      <c r="P224" s="111"/>
      <c r="Q224" s="110"/>
      <c r="R224" s="179">
        <f t="shared" si="423"/>
        <v>0</v>
      </c>
      <c r="S224" s="111">
        <f t="shared" si="424"/>
        <v>0</v>
      </c>
      <c r="T224" s="119"/>
      <c r="U224" s="166"/>
      <c r="V224" s="111"/>
      <c r="W224" s="111" t="str">
        <f t="shared" si="418"/>
        <v>M1 Energétique</v>
      </c>
      <c r="X224" s="157"/>
      <c r="Y224" s="134">
        <f t="shared" si="425"/>
        <v>0</v>
      </c>
      <c r="Z224" s="112">
        <f t="shared" si="426"/>
        <v>0</v>
      </c>
      <c r="AA224" s="112"/>
      <c r="AB224" s="112"/>
      <c r="AC224" s="112"/>
      <c r="AD224" s="159"/>
    </row>
    <row r="225" spans="1:30" ht="16.5" thickBot="1">
      <c r="A225" s="265"/>
      <c r="B225" s="81" t="s">
        <v>247</v>
      </c>
      <c r="C225" s="113"/>
      <c r="D225" s="135"/>
      <c r="E225" s="122"/>
      <c r="F225" s="119"/>
      <c r="G225" s="166"/>
      <c r="H225" s="114"/>
      <c r="I225" s="114"/>
      <c r="J225" s="113"/>
      <c r="K225" s="180"/>
      <c r="L225" s="122"/>
      <c r="M225" s="119"/>
      <c r="N225" s="166"/>
      <c r="O225" s="114"/>
      <c r="P225" s="114"/>
      <c r="Q225" s="113"/>
      <c r="R225" s="180"/>
      <c r="S225" s="122"/>
      <c r="T225" s="121"/>
      <c r="U225" s="169"/>
      <c r="V225" s="114"/>
      <c r="W225" s="114"/>
      <c r="X225" s="160"/>
      <c r="Y225" s="135"/>
      <c r="Z225" s="161"/>
      <c r="AA225" s="115"/>
      <c r="AB225" s="115"/>
      <c r="AC225" s="115"/>
      <c r="AD225" s="162"/>
    </row>
    <row r="226" spans="1:30" ht="15" customHeight="1">
      <c r="A226" s="265"/>
      <c r="B226" s="268" t="s">
        <v>248</v>
      </c>
      <c r="C226" s="93"/>
      <c r="D226" s="136"/>
      <c r="E226" s="92"/>
      <c r="F226" s="119"/>
      <c r="G226" s="166"/>
      <c r="H226" s="116"/>
      <c r="I226" s="116"/>
      <c r="J226" s="93"/>
      <c r="K226" s="181"/>
      <c r="L226" s="92"/>
      <c r="M226" s="119"/>
      <c r="N226" s="166"/>
      <c r="O226" s="116"/>
      <c r="P226" s="116"/>
      <c r="Q226" s="93"/>
      <c r="R226" s="181"/>
      <c r="S226" s="92"/>
      <c r="T226" s="117" t="s">
        <v>250</v>
      </c>
      <c r="U226" s="117"/>
      <c r="V226" s="116"/>
      <c r="W226" s="116"/>
      <c r="X226" s="143"/>
      <c r="Y226" s="136"/>
      <c r="Z226" s="87"/>
      <c r="AA226" s="117" t="s">
        <v>250</v>
      </c>
      <c r="AB226" s="117"/>
      <c r="AC226" s="117"/>
      <c r="AD226" s="163"/>
    </row>
    <row r="227" spans="1:30" ht="15" customHeight="1" thickBot="1">
      <c r="A227" s="265"/>
      <c r="B227" s="268"/>
      <c r="C227" s="93"/>
      <c r="D227" s="136">
        <f>D226</f>
        <v>0</v>
      </c>
      <c r="E227" s="116">
        <f>E226</f>
        <v>0</v>
      </c>
      <c r="F227" s="121"/>
      <c r="G227" s="169"/>
      <c r="H227" s="116"/>
      <c r="I227" s="116"/>
      <c r="J227" s="93"/>
      <c r="K227" s="181">
        <f>K226</f>
        <v>0</v>
      </c>
      <c r="L227" s="116">
        <f>L226</f>
        <v>0</v>
      </c>
      <c r="M227" s="121"/>
      <c r="N227" s="169"/>
      <c r="O227" s="116"/>
      <c r="P227" s="116"/>
      <c r="Q227" s="93"/>
      <c r="R227" s="181">
        <f>R226</f>
        <v>0</v>
      </c>
      <c r="S227" s="116">
        <f>S226</f>
        <v>0</v>
      </c>
      <c r="T227" s="117" t="s">
        <v>251</v>
      </c>
      <c r="U227" s="117"/>
      <c r="V227" s="116"/>
      <c r="W227" s="116"/>
      <c r="X227" s="143"/>
      <c r="Y227" s="136">
        <f>Y226</f>
        <v>0</v>
      </c>
      <c r="Z227" s="117">
        <f>Z226</f>
        <v>0</v>
      </c>
      <c r="AA227" s="117" t="s">
        <v>251</v>
      </c>
      <c r="AB227" s="117"/>
      <c r="AC227" s="117"/>
      <c r="AD227" s="163"/>
    </row>
    <row r="228" spans="1:30" ht="15" customHeight="1">
      <c r="A228" s="265"/>
      <c r="B228" s="268"/>
      <c r="C228" s="93"/>
      <c r="D228" s="136">
        <f t="shared" ref="D228:D229" si="427">D227</f>
        <v>0</v>
      </c>
      <c r="E228" s="116">
        <f t="shared" ref="E228:E229" si="428">E227</f>
        <v>0</v>
      </c>
      <c r="F228" s="90"/>
      <c r="G228" s="89"/>
      <c r="H228" s="116"/>
      <c r="I228" s="116"/>
      <c r="J228" s="93"/>
      <c r="K228" s="181">
        <f t="shared" ref="K228:K229" si="429">K227</f>
        <v>0</v>
      </c>
      <c r="L228" s="116">
        <f t="shared" ref="L228:L229" si="430">L227</f>
        <v>0</v>
      </c>
      <c r="M228" s="90"/>
      <c r="N228" s="89"/>
      <c r="O228" s="116"/>
      <c r="P228" s="116"/>
      <c r="Q228" s="93"/>
      <c r="R228" s="181">
        <f t="shared" ref="R228:R229" si="431">R227</f>
        <v>0</v>
      </c>
      <c r="S228" s="116">
        <f t="shared" ref="S228:S229" si="432">S227</f>
        <v>0</v>
      </c>
      <c r="T228" s="116"/>
      <c r="U228" s="117"/>
      <c r="V228" s="116"/>
      <c r="W228" s="116"/>
      <c r="X228" s="143"/>
      <c r="Y228" s="136">
        <f t="shared" ref="Y228:Y229" si="433">Y227</f>
        <v>0</v>
      </c>
      <c r="Z228" s="117">
        <f t="shared" ref="Z228:Z229" si="434">Z227</f>
        <v>0</v>
      </c>
      <c r="AA228" s="117"/>
      <c r="AB228" s="117"/>
      <c r="AC228" s="117"/>
      <c r="AD228" s="163"/>
    </row>
    <row r="229" spans="1:30" ht="15" customHeight="1">
      <c r="A229" s="265"/>
      <c r="B229" s="268"/>
      <c r="C229" s="93"/>
      <c r="D229" s="136">
        <f t="shared" si="427"/>
        <v>0</v>
      </c>
      <c r="E229" s="116">
        <f t="shared" si="428"/>
        <v>0</v>
      </c>
      <c r="F229" s="87" t="s">
        <v>250</v>
      </c>
      <c r="G229" s="92"/>
      <c r="H229" s="116"/>
      <c r="I229" s="116"/>
      <c r="J229" s="93"/>
      <c r="K229" s="181">
        <f t="shared" si="429"/>
        <v>0</v>
      </c>
      <c r="L229" s="116">
        <f t="shared" si="430"/>
        <v>0</v>
      </c>
      <c r="M229" s="87" t="s">
        <v>250</v>
      </c>
      <c r="N229" s="92"/>
      <c r="O229" s="116"/>
      <c r="P229" s="116"/>
      <c r="Q229" s="93"/>
      <c r="R229" s="181">
        <f t="shared" si="431"/>
        <v>0</v>
      </c>
      <c r="S229" s="116">
        <f t="shared" si="432"/>
        <v>0</v>
      </c>
      <c r="T229" s="116"/>
      <c r="U229" s="117"/>
      <c r="V229" s="116"/>
      <c r="W229" s="116"/>
      <c r="X229" s="143"/>
      <c r="Y229" s="136">
        <f t="shared" si="433"/>
        <v>0</v>
      </c>
      <c r="Z229" s="117">
        <f t="shared" si="434"/>
        <v>0</v>
      </c>
      <c r="AA229" s="117"/>
      <c r="AB229" s="117"/>
      <c r="AC229" s="117"/>
      <c r="AD229" s="163"/>
    </row>
    <row r="230" spans="1:30" ht="15" customHeight="1">
      <c r="A230" s="265"/>
      <c r="B230" s="273" t="s">
        <v>249</v>
      </c>
      <c r="C230" s="118"/>
      <c r="D230" s="137"/>
      <c r="E230" s="125"/>
      <c r="F230" s="87" t="s">
        <v>251</v>
      </c>
      <c r="G230" s="92"/>
      <c r="H230" s="119"/>
      <c r="I230" s="119"/>
      <c r="J230" s="118"/>
      <c r="K230" s="182"/>
      <c r="L230" s="125"/>
      <c r="M230" s="87" t="s">
        <v>251</v>
      </c>
      <c r="N230" s="92"/>
      <c r="O230" s="119"/>
      <c r="P230" s="119"/>
      <c r="Q230" s="118"/>
      <c r="R230" s="182"/>
      <c r="S230" s="125"/>
      <c r="T230" s="119" t="s">
        <v>250</v>
      </c>
      <c r="U230" s="166"/>
      <c r="V230" s="119"/>
      <c r="W230" s="119"/>
      <c r="X230" s="164"/>
      <c r="Y230" s="137"/>
      <c r="Z230" s="165"/>
      <c r="AA230" s="166" t="s">
        <v>250</v>
      </c>
      <c r="AB230" s="166"/>
      <c r="AC230" s="166"/>
      <c r="AD230" s="167"/>
    </row>
    <row r="231" spans="1:30" ht="15" customHeight="1">
      <c r="A231" s="265"/>
      <c r="B231" s="273"/>
      <c r="C231" s="118"/>
      <c r="D231" s="137">
        <f>D230</f>
        <v>0</v>
      </c>
      <c r="E231" s="119">
        <f>E230</f>
        <v>0</v>
      </c>
      <c r="F231" s="87" t="s">
        <v>252</v>
      </c>
      <c r="G231" s="92"/>
      <c r="H231" s="119"/>
      <c r="I231" s="119"/>
      <c r="J231" s="118"/>
      <c r="K231" s="182">
        <f>K230</f>
        <v>0</v>
      </c>
      <c r="L231" s="119">
        <f>L230</f>
        <v>0</v>
      </c>
      <c r="M231" s="87" t="s">
        <v>252</v>
      </c>
      <c r="N231" s="92"/>
      <c r="O231" s="119"/>
      <c r="P231" s="119"/>
      <c r="Q231" s="118"/>
      <c r="R231" s="182">
        <f>R230</f>
        <v>0</v>
      </c>
      <c r="S231" s="119">
        <f>S230</f>
        <v>0</v>
      </c>
      <c r="T231" s="119" t="s">
        <v>251</v>
      </c>
      <c r="U231" s="166"/>
      <c r="V231" s="119"/>
      <c r="W231" s="119"/>
      <c r="X231" s="164"/>
      <c r="Y231" s="137">
        <f>Y230</f>
        <v>0</v>
      </c>
      <c r="Z231" s="166">
        <f>Z230</f>
        <v>0</v>
      </c>
      <c r="AA231" s="166" t="s">
        <v>251</v>
      </c>
      <c r="AB231" s="166"/>
      <c r="AC231" s="166"/>
      <c r="AD231" s="167"/>
    </row>
    <row r="232" spans="1:30" ht="15" customHeight="1">
      <c r="A232" s="265"/>
      <c r="B232" s="273"/>
      <c r="C232" s="118"/>
      <c r="D232" s="137">
        <f t="shared" ref="D232:D233" si="435">D231</f>
        <v>0</v>
      </c>
      <c r="E232" s="119">
        <f t="shared" ref="E232:E233" si="436">E231</f>
        <v>0</v>
      </c>
      <c r="F232" s="87"/>
      <c r="G232" s="92"/>
      <c r="H232" s="119"/>
      <c r="I232" s="119"/>
      <c r="J232" s="118"/>
      <c r="K232" s="182">
        <f t="shared" ref="K232:K233" si="437">K231</f>
        <v>0</v>
      </c>
      <c r="L232" s="119">
        <f t="shared" ref="L232:L233" si="438">L231</f>
        <v>0</v>
      </c>
      <c r="M232" s="87"/>
      <c r="N232" s="92"/>
      <c r="O232" s="119"/>
      <c r="P232" s="119"/>
      <c r="Q232" s="118"/>
      <c r="R232" s="182">
        <f t="shared" ref="R232:R233" si="439">R231</f>
        <v>0</v>
      </c>
      <c r="S232" s="119">
        <f t="shared" ref="S232:S233" si="440">S231</f>
        <v>0</v>
      </c>
      <c r="T232" s="119"/>
      <c r="U232" s="166"/>
      <c r="V232" s="119"/>
      <c r="W232" s="119"/>
      <c r="X232" s="164"/>
      <c r="Y232" s="137">
        <f t="shared" ref="Y232:Y233" si="441">Y231</f>
        <v>0</v>
      </c>
      <c r="Z232" s="166">
        <f t="shared" ref="Z232:Z233" si="442">Z231</f>
        <v>0</v>
      </c>
      <c r="AA232" s="166"/>
      <c r="AB232" s="166"/>
      <c r="AC232" s="166"/>
      <c r="AD232" s="167"/>
    </row>
    <row r="233" spans="1:30" ht="15.75" customHeight="1" thickBot="1">
      <c r="A233" s="266"/>
      <c r="B233" s="274"/>
      <c r="C233" s="120"/>
      <c r="D233" s="138">
        <f t="shared" si="435"/>
        <v>0</v>
      </c>
      <c r="E233" s="121">
        <f t="shared" si="436"/>
        <v>0</v>
      </c>
      <c r="F233" s="87"/>
      <c r="G233" s="92"/>
      <c r="H233" s="121"/>
      <c r="I233" s="121"/>
      <c r="J233" s="120"/>
      <c r="K233" s="183">
        <f t="shared" si="437"/>
        <v>0</v>
      </c>
      <c r="L233" s="121">
        <f t="shared" si="438"/>
        <v>0</v>
      </c>
      <c r="M233" s="87"/>
      <c r="N233" s="92"/>
      <c r="O233" s="121"/>
      <c r="P233" s="121"/>
      <c r="Q233" s="120"/>
      <c r="R233" s="183">
        <f t="shared" si="439"/>
        <v>0</v>
      </c>
      <c r="S233" s="121">
        <f t="shared" si="440"/>
        <v>0</v>
      </c>
      <c r="T233" s="121"/>
      <c r="U233" s="169"/>
      <c r="V233" s="121"/>
      <c r="W233" s="121"/>
      <c r="X233" s="168"/>
      <c r="Y233" s="138">
        <f t="shared" si="441"/>
        <v>0</v>
      </c>
      <c r="Z233" s="169">
        <f t="shared" si="442"/>
        <v>0</v>
      </c>
      <c r="AA233" s="169"/>
      <c r="AB233" s="169"/>
      <c r="AC233" s="169"/>
      <c r="AD233" s="170"/>
    </row>
    <row r="234" spans="1:30" ht="16.5" thickBot="1">
      <c r="A234" s="264" t="s">
        <v>269</v>
      </c>
      <c r="B234" s="86" t="s">
        <v>239</v>
      </c>
      <c r="C234" s="88"/>
      <c r="D234" s="127"/>
      <c r="E234" s="89"/>
      <c r="F234" s="97"/>
      <c r="G234" s="97" t="s">
        <v>291</v>
      </c>
      <c r="H234" s="89"/>
      <c r="I234" s="89"/>
      <c r="J234" s="88" t="s">
        <v>277</v>
      </c>
      <c r="K234" s="172" t="str">
        <f>'2 Licence'!C37</f>
        <v>Chimie physique</v>
      </c>
      <c r="L234" s="89" t="s">
        <v>277</v>
      </c>
      <c r="M234" s="97"/>
      <c r="N234" s="97" t="s">
        <v>286</v>
      </c>
      <c r="O234" s="89"/>
      <c r="P234" s="89"/>
      <c r="Q234" s="88"/>
      <c r="R234" s="172"/>
      <c r="S234" s="89"/>
      <c r="T234" s="100" t="s">
        <v>251</v>
      </c>
      <c r="U234" s="100" t="s">
        <v>284</v>
      </c>
      <c r="V234" s="89"/>
      <c r="W234" s="89"/>
      <c r="X234" s="139"/>
      <c r="Y234" s="127"/>
      <c r="Z234" s="90"/>
      <c r="AA234" s="90"/>
      <c r="AB234" s="90"/>
      <c r="AC234" s="90"/>
      <c r="AD234" s="140"/>
    </row>
    <row r="235" spans="1:30" ht="15" customHeight="1">
      <c r="A235" s="265"/>
      <c r="B235" s="267" t="s">
        <v>240</v>
      </c>
      <c r="C235" s="91"/>
      <c r="D235" s="128"/>
      <c r="E235" s="92"/>
      <c r="F235" s="100"/>
      <c r="G235" s="100"/>
      <c r="H235" s="92"/>
      <c r="I235" s="92"/>
      <c r="J235" s="91" t="s">
        <v>274</v>
      </c>
      <c r="K235" s="173" t="str">
        <f>'2 Licence'!C38</f>
        <v>Fabrication mécanique</v>
      </c>
      <c r="L235" s="92" t="s">
        <v>274</v>
      </c>
      <c r="M235" s="100"/>
      <c r="N235" s="100" t="s">
        <v>287</v>
      </c>
      <c r="O235" s="92"/>
      <c r="P235" s="92"/>
      <c r="Q235" s="91"/>
      <c r="R235" s="173"/>
      <c r="S235" s="92"/>
      <c r="T235" s="100"/>
      <c r="U235" s="100" t="s">
        <v>284</v>
      </c>
      <c r="V235" s="92"/>
      <c r="W235" s="92"/>
      <c r="X235" s="141"/>
      <c r="Y235" s="128"/>
      <c r="Z235" s="87"/>
      <c r="AA235" s="87" t="s">
        <v>250</v>
      </c>
      <c r="AB235" s="87"/>
      <c r="AC235" s="87"/>
      <c r="AD235" s="142"/>
    </row>
    <row r="236" spans="1:30" ht="15" customHeight="1">
      <c r="A236" s="265"/>
      <c r="B236" s="268"/>
      <c r="C236" s="93"/>
      <c r="D236" s="128">
        <f>D235</f>
        <v>0</v>
      </c>
      <c r="E236" s="92">
        <f>E235</f>
        <v>0</v>
      </c>
      <c r="F236" s="100"/>
      <c r="G236" s="100"/>
      <c r="H236" s="92"/>
      <c r="I236" s="92"/>
      <c r="J236" s="93"/>
      <c r="K236" s="173" t="str">
        <f>K235</f>
        <v>Fabrication mécanique</v>
      </c>
      <c r="L236" s="92" t="str">
        <f>L235</f>
        <v>S.Hadef</v>
      </c>
      <c r="M236" s="100"/>
      <c r="N236" s="100" t="s">
        <v>289</v>
      </c>
      <c r="O236" s="92"/>
      <c r="P236" s="92"/>
      <c r="Q236" s="93"/>
      <c r="R236" s="173">
        <f>R235</f>
        <v>0</v>
      </c>
      <c r="S236" s="92">
        <f>S235</f>
        <v>0</v>
      </c>
      <c r="T236" s="100"/>
      <c r="U236" s="100"/>
      <c r="V236" s="92"/>
      <c r="W236" s="92"/>
      <c r="X236" s="143"/>
      <c r="Y236" s="128">
        <f>Y235</f>
        <v>0</v>
      </c>
      <c r="Z236" s="87">
        <f>Z235</f>
        <v>0</v>
      </c>
      <c r="AA236" s="87" t="s">
        <v>251</v>
      </c>
      <c r="AB236" s="87"/>
      <c r="AC236" s="87"/>
      <c r="AD236" s="142"/>
    </row>
    <row r="237" spans="1:30" ht="15" customHeight="1">
      <c r="A237" s="265"/>
      <c r="B237" s="268"/>
      <c r="C237" s="93"/>
      <c r="D237" s="128">
        <f t="shared" ref="D237:D239" si="443">D236</f>
        <v>0</v>
      </c>
      <c r="E237" s="92">
        <f t="shared" ref="E237:E239" si="444">E236</f>
        <v>0</v>
      </c>
      <c r="F237" s="100"/>
      <c r="G237" s="100"/>
      <c r="H237" s="92"/>
      <c r="I237" s="92"/>
      <c r="J237" s="93"/>
      <c r="K237" s="173" t="str">
        <f t="shared" ref="K237:K239" si="445">K236</f>
        <v>Fabrication mécanique</v>
      </c>
      <c r="L237" s="92" t="str">
        <f t="shared" ref="L237:L239" si="446">L236</f>
        <v>S.Hadef</v>
      </c>
      <c r="M237" s="100"/>
      <c r="N237" s="100" t="s">
        <v>290</v>
      </c>
      <c r="O237" s="92"/>
      <c r="P237" s="92"/>
      <c r="Q237" s="93"/>
      <c r="R237" s="173">
        <f t="shared" ref="R237:R239" si="447">R236</f>
        <v>0</v>
      </c>
      <c r="S237" s="92">
        <f t="shared" ref="S237:S239" si="448">S236</f>
        <v>0</v>
      </c>
      <c r="T237" s="103" t="s">
        <v>250</v>
      </c>
      <c r="U237" s="103" t="s">
        <v>285</v>
      </c>
      <c r="V237" s="92"/>
      <c r="W237" s="92"/>
      <c r="X237" s="143"/>
      <c r="Y237" s="128">
        <f t="shared" ref="Y237:Y239" si="449">Y236</f>
        <v>0</v>
      </c>
      <c r="Z237" s="87">
        <f t="shared" ref="Z237:Z239" si="450">Z236</f>
        <v>0</v>
      </c>
      <c r="AA237" s="87" t="s">
        <v>252</v>
      </c>
      <c r="AB237" s="87"/>
      <c r="AC237" s="87"/>
      <c r="AD237" s="142"/>
    </row>
    <row r="238" spans="1:30" ht="15" customHeight="1">
      <c r="A238" s="265"/>
      <c r="B238" s="268"/>
      <c r="C238" s="93"/>
      <c r="D238" s="128">
        <f t="shared" si="443"/>
        <v>0</v>
      </c>
      <c r="E238" s="92">
        <f t="shared" si="444"/>
        <v>0</v>
      </c>
      <c r="F238" s="100"/>
      <c r="G238" s="100"/>
      <c r="H238" s="92"/>
      <c r="I238" s="92"/>
      <c r="J238" s="93"/>
      <c r="K238" s="173" t="str">
        <f t="shared" si="445"/>
        <v>Fabrication mécanique</v>
      </c>
      <c r="L238" s="92" t="str">
        <f t="shared" si="446"/>
        <v>S.Hadef</v>
      </c>
      <c r="M238" s="100"/>
      <c r="N238" s="100" t="s">
        <v>291</v>
      </c>
      <c r="O238" s="92"/>
      <c r="P238" s="92"/>
      <c r="Q238" s="93"/>
      <c r="R238" s="173">
        <f t="shared" si="447"/>
        <v>0</v>
      </c>
      <c r="S238" s="92">
        <f t="shared" si="448"/>
        <v>0</v>
      </c>
      <c r="T238" s="103"/>
      <c r="U238" s="103" t="s">
        <v>285</v>
      </c>
      <c r="V238" s="92"/>
      <c r="W238" s="92"/>
      <c r="X238" s="143"/>
      <c r="Y238" s="128">
        <f t="shared" si="449"/>
        <v>0</v>
      </c>
      <c r="Z238" s="87">
        <f t="shared" si="450"/>
        <v>0</v>
      </c>
      <c r="AA238" s="87"/>
      <c r="AB238" s="87"/>
      <c r="AC238" s="87"/>
      <c r="AD238" s="142"/>
    </row>
    <row r="239" spans="1:30" ht="15" customHeight="1">
      <c r="A239" s="265"/>
      <c r="B239" s="268"/>
      <c r="C239" s="94"/>
      <c r="D239" s="128">
        <f t="shared" si="443"/>
        <v>0</v>
      </c>
      <c r="E239" s="92">
        <f t="shared" si="444"/>
        <v>0</v>
      </c>
      <c r="F239" s="103"/>
      <c r="G239" s="103"/>
      <c r="H239" s="92"/>
      <c r="I239" s="92"/>
      <c r="J239" s="94"/>
      <c r="K239" s="173" t="str">
        <f t="shared" si="445"/>
        <v>Fabrication mécanique</v>
      </c>
      <c r="L239" s="92" t="str">
        <f t="shared" si="446"/>
        <v>S.Hadef</v>
      </c>
      <c r="M239" s="103"/>
      <c r="N239" s="103"/>
      <c r="O239" s="92"/>
      <c r="P239" s="92"/>
      <c r="Q239" s="94"/>
      <c r="R239" s="173">
        <f t="shared" si="447"/>
        <v>0</v>
      </c>
      <c r="S239" s="92">
        <f t="shared" si="448"/>
        <v>0</v>
      </c>
      <c r="T239" s="103"/>
      <c r="U239" s="103" t="s">
        <v>285</v>
      </c>
      <c r="V239" s="92"/>
      <c r="W239" s="92"/>
      <c r="X239" s="144"/>
      <c r="Y239" s="128">
        <f t="shared" si="449"/>
        <v>0</v>
      </c>
      <c r="Z239" s="87">
        <f t="shared" si="450"/>
        <v>0</v>
      </c>
      <c r="AA239" s="87"/>
      <c r="AB239" s="87"/>
      <c r="AC239" s="87"/>
      <c r="AD239" s="142"/>
    </row>
    <row r="240" spans="1:30" ht="15.75">
      <c r="A240" s="265"/>
      <c r="B240" s="79" t="s">
        <v>241</v>
      </c>
      <c r="C240" s="95" t="s">
        <v>110</v>
      </c>
      <c r="D240" s="129" t="str">
        <f>'3 Licence'!C44</f>
        <v>Procédés de mise en forme des métaux</v>
      </c>
      <c r="E240" s="96" t="s">
        <v>110</v>
      </c>
      <c r="F240" s="103"/>
      <c r="G240" s="103" t="s">
        <v>287</v>
      </c>
      <c r="H240" s="96"/>
      <c r="I240" s="96" t="str">
        <f>$B$42</f>
        <v>L3 Métallurgie</v>
      </c>
      <c r="J240" s="95"/>
      <c r="K240" s="174"/>
      <c r="L240" s="96"/>
      <c r="M240" s="103"/>
      <c r="N240" s="103"/>
      <c r="O240" s="96"/>
      <c r="P240" s="96"/>
      <c r="Q240" s="95"/>
      <c r="R240" s="174"/>
      <c r="S240" s="96"/>
      <c r="T240" s="103"/>
      <c r="U240" s="103"/>
      <c r="V240" s="96"/>
      <c r="W240" s="96" t="str">
        <f>$B$42</f>
        <v>L3 Métallurgie</v>
      </c>
      <c r="X240" s="145"/>
      <c r="Y240" s="129"/>
      <c r="Z240" s="97"/>
      <c r="AA240" s="97"/>
      <c r="AB240" s="97"/>
      <c r="AC240" s="97"/>
      <c r="AD240" s="146"/>
    </row>
    <row r="241" spans="1:30" ht="15" customHeight="1">
      <c r="A241" s="265"/>
      <c r="B241" s="269" t="s">
        <v>242</v>
      </c>
      <c r="C241" s="98"/>
      <c r="D241" s="130" t="str">
        <f>'3 Licence'!C45</f>
        <v>Théorie des mécanismes</v>
      </c>
      <c r="E241" s="99" t="s">
        <v>67</v>
      </c>
      <c r="F241" s="103" t="s">
        <v>250</v>
      </c>
      <c r="G241" s="103" t="s">
        <v>284</v>
      </c>
      <c r="H241" s="99"/>
      <c r="I241" s="99" t="str">
        <f>$B$43</f>
        <v>L3 Construction</v>
      </c>
      <c r="J241" s="98"/>
      <c r="K241" s="175"/>
      <c r="L241" s="99"/>
      <c r="M241" s="103" t="s">
        <v>250</v>
      </c>
      <c r="N241" s="103"/>
      <c r="O241" s="99"/>
      <c r="P241" s="99"/>
      <c r="Q241" s="98"/>
      <c r="R241" s="175"/>
      <c r="S241" s="99"/>
      <c r="T241" s="106"/>
      <c r="U241" s="106" t="s">
        <v>288</v>
      </c>
      <c r="V241" s="99"/>
      <c r="W241" s="99" t="str">
        <f>$B$43</f>
        <v>L3 Construction</v>
      </c>
      <c r="X241" s="147"/>
      <c r="Y241" s="130"/>
      <c r="Z241" s="100"/>
      <c r="AA241" s="100" t="s">
        <v>250</v>
      </c>
      <c r="AB241" s="100"/>
      <c r="AC241" s="100"/>
      <c r="AD241" s="148"/>
    </row>
    <row r="242" spans="1:30" ht="15" customHeight="1">
      <c r="A242" s="265"/>
      <c r="B242" s="269"/>
      <c r="C242" s="98"/>
      <c r="D242" s="130" t="str">
        <f>D241</f>
        <v>Théorie des mécanismes</v>
      </c>
      <c r="E242" s="99" t="str">
        <f>E241</f>
        <v>F.Bekhoucha</v>
      </c>
      <c r="F242" s="103" t="s">
        <v>250</v>
      </c>
      <c r="G242" s="103" t="s">
        <v>284</v>
      </c>
      <c r="H242" s="99"/>
      <c r="I242" s="99" t="str">
        <f t="shared" ref="I242:I244" si="451">$B$43</f>
        <v>L3 Construction</v>
      </c>
      <c r="J242" s="98"/>
      <c r="K242" s="175">
        <f>K241</f>
        <v>0</v>
      </c>
      <c r="L242" s="99">
        <f>L241</f>
        <v>0</v>
      </c>
      <c r="M242" s="103" t="s">
        <v>250</v>
      </c>
      <c r="N242" s="103"/>
      <c r="O242" s="99"/>
      <c r="P242" s="99"/>
      <c r="Q242" s="98"/>
      <c r="R242" s="175">
        <f>R241</f>
        <v>0</v>
      </c>
      <c r="S242" s="99">
        <f>S241</f>
        <v>0</v>
      </c>
      <c r="T242" s="109" t="s">
        <v>250</v>
      </c>
      <c r="U242" s="109" t="s">
        <v>286</v>
      </c>
      <c r="V242" s="99"/>
      <c r="W242" s="99" t="str">
        <f t="shared" ref="W242:W244" si="452">$B$43</f>
        <v>L3 Construction</v>
      </c>
      <c r="X242" s="147"/>
      <c r="Y242" s="130">
        <f>Y241</f>
        <v>0</v>
      </c>
      <c r="Z242" s="100">
        <f>Z241</f>
        <v>0</v>
      </c>
      <c r="AA242" s="100" t="s">
        <v>251</v>
      </c>
      <c r="AB242" s="100"/>
      <c r="AC242" s="100"/>
      <c r="AD242" s="148"/>
    </row>
    <row r="243" spans="1:30" ht="15" customHeight="1">
      <c r="A243" s="265"/>
      <c r="B243" s="269"/>
      <c r="C243" s="98"/>
      <c r="D243" s="130" t="str">
        <f t="shared" ref="D243:D244" si="453">D242</f>
        <v>Théorie des mécanismes</v>
      </c>
      <c r="E243" s="99" t="str">
        <f t="shared" ref="E243:E244" si="454">E242</f>
        <v>F.Bekhoucha</v>
      </c>
      <c r="F243" s="106"/>
      <c r="G243" s="106"/>
      <c r="H243" s="99"/>
      <c r="I243" s="99" t="str">
        <f t="shared" si="451"/>
        <v>L3 Construction</v>
      </c>
      <c r="J243" s="98"/>
      <c r="K243" s="175">
        <f t="shared" ref="K243:K244" si="455">K242</f>
        <v>0</v>
      </c>
      <c r="L243" s="99">
        <f t="shared" ref="L243:L244" si="456">L242</f>
        <v>0</v>
      </c>
      <c r="M243" s="106"/>
      <c r="N243" s="106"/>
      <c r="O243" s="99"/>
      <c r="P243" s="99"/>
      <c r="Q243" s="98"/>
      <c r="R243" s="175">
        <f t="shared" ref="R243:R244" si="457">R242</f>
        <v>0</v>
      </c>
      <c r="S243" s="99">
        <f t="shared" ref="S243:S244" si="458">S242</f>
        <v>0</v>
      </c>
      <c r="T243" s="109" t="s">
        <v>251</v>
      </c>
      <c r="U243" s="109" t="s">
        <v>286</v>
      </c>
      <c r="V243" s="99"/>
      <c r="W243" s="99" t="str">
        <f t="shared" si="452"/>
        <v>L3 Construction</v>
      </c>
      <c r="X243" s="147"/>
      <c r="Y243" s="130">
        <f t="shared" ref="Y243:Y244" si="459">Y242</f>
        <v>0</v>
      </c>
      <c r="Z243" s="100">
        <f t="shared" ref="Z243:Z244" si="460">Z242</f>
        <v>0</v>
      </c>
      <c r="AA243" s="100"/>
      <c r="AB243" s="100"/>
      <c r="AC243" s="100"/>
      <c r="AD243" s="148"/>
    </row>
    <row r="244" spans="1:30" ht="15" customHeight="1">
      <c r="A244" s="265"/>
      <c r="B244" s="269"/>
      <c r="C244" s="98" t="s">
        <v>67</v>
      </c>
      <c r="D244" s="130" t="str">
        <f t="shared" si="453"/>
        <v>Théorie des mécanismes</v>
      </c>
      <c r="E244" s="99" t="str">
        <f t="shared" si="454"/>
        <v>F.Bekhoucha</v>
      </c>
      <c r="F244" s="109"/>
      <c r="G244" s="109"/>
      <c r="H244" s="99"/>
      <c r="I244" s="99" t="str">
        <f t="shared" si="451"/>
        <v>L3 Construction</v>
      </c>
      <c r="J244" s="98"/>
      <c r="K244" s="175">
        <f t="shared" si="455"/>
        <v>0</v>
      </c>
      <c r="L244" s="99">
        <f t="shared" si="456"/>
        <v>0</v>
      </c>
      <c r="M244" s="109"/>
      <c r="N244" s="109"/>
      <c r="O244" s="99"/>
      <c r="P244" s="99"/>
      <c r="Q244" s="98"/>
      <c r="R244" s="175">
        <f t="shared" si="457"/>
        <v>0</v>
      </c>
      <c r="S244" s="99">
        <f t="shared" si="458"/>
        <v>0</v>
      </c>
      <c r="T244" s="109"/>
      <c r="U244" s="109" t="s">
        <v>286</v>
      </c>
      <c r="V244" s="99"/>
      <c r="W244" s="99" t="str">
        <f t="shared" si="452"/>
        <v>L3 Construction</v>
      </c>
      <c r="X244" s="147"/>
      <c r="Y244" s="130">
        <f t="shared" si="459"/>
        <v>0</v>
      </c>
      <c r="Z244" s="100">
        <f t="shared" si="460"/>
        <v>0</v>
      </c>
      <c r="AA244" s="100"/>
      <c r="AB244" s="100"/>
      <c r="AC244" s="100"/>
      <c r="AD244" s="148"/>
    </row>
    <row r="245" spans="1:30" ht="15" customHeight="1">
      <c r="A245" s="265"/>
      <c r="B245" s="270" t="s">
        <v>243</v>
      </c>
      <c r="C245" s="101"/>
      <c r="D245" s="131" t="str">
        <f>'3 Licence'!C47</f>
        <v>Turbomachines 2</v>
      </c>
      <c r="E245" s="102" t="s">
        <v>273</v>
      </c>
      <c r="F245" s="109" t="s">
        <v>250</v>
      </c>
      <c r="G245" s="109" t="s">
        <v>285</v>
      </c>
      <c r="H245" s="102"/>
      <c r="I245" s="102" t="str">
        <f>$B$47</f>
        <v>L3 Energétique</v>
      </c>
      <c r="J245" s="101"/>
      <c r="K245" s="176"/>
      <c r="L245" s="102"/>
      <c r="M245" s="109" t="s">
        <v>250</v>
      </c>
      <c r="N245" s="109"/>
      <c r="O245" s="102"/>
      <c r="P245" s="102"/>
      <c r="Q245" s="101"/>
      <c r="R245" s="176"/>
      <c r="S245" s="102"/>
      <c r="T245" s="109"/>
      <c r="U245" s="109"/>
      <c r="V245" s="102"/>
      <c r="W245" s="102" t="str">
        <f>$B$47</f>
        <v>L3 Energétique</v>
      </c>
      <c r="X245" s="149"/>
      <c r="Y245" s="131"/>
      <c r="Z245" s="103"/>
      <c r="AA245" s="103" t="s">
        <v>250</v>
      </c>
      <c r="AB245" s="103"/>
      <c r="AC245" s="103"/>
      <c r="AD245" s="150"/>
    </row>
    <row r="246" spans="1:30" ht="15" customHeight="1">
      <c r="A246" s="265"/>
      <c r="B246" s="270"/>
      <c r="C246" s="101"/>
      <c r="D246" s="131" t="str">
        <f>D245</f>
        <v>Turbomachines 2</v>
      </c>
      <c r="E246" s="102" t="str">
        <f>E245</f>
        <v>D.Fites</v>
      </c>
      <c r="F246" s="109"/>
      <c r="G246" s="109"/>
      <c r="H246" s="102"/>
      <c r="I246" s="102" t="str">
        <f t="shared" ref="I246:I248" si="461">$B$47</f>
        <v>L3 Energétique</v>
      </c>
      <c r="J246" s="101"/>
      <c r="K246" s="176">
        <f>K245</f>
        <v>0</v>
      </c>
      <c r="L246" s="102">
        <f>L245</f>
        <v>0</v>
      </c>
      <c r="M246" s="109"/>
      <c r="N246" s="109"/>
      <c r="O246" s="102"/>
      <c r="P246" s="102"/>
      <c r="Q246" s="101"/>
      <c r="R246" s="176">
        <f>R245</f>
        <v>0</v>
      </c>
      <c r="S246" s="102">
        <f>S245</f>
        <v>0</v>
      </c>
      <c r="T246" s="112" t="s">
        <v>250</v>
      </c>
      <c r="U246" s="112" t="s">
        <v>289</v>
      </c>
      <c r="V246" s="102"/>
      <c r="W246" s="102" t="str">
        <f t="shared" ref="W246:W248" si="462">$B$47</f>
        <v>L3 Energétique</v>
      </c>
      <c r="X246" s="149"/>
      <c r="Y246" s="131">
        <f>Y245</f>
        <v>0</v>
      </c>
      <c r="Z246" s="103">
        <f>Z245</f>
        <v>0</v>
      </c>
      <c r="AA246" s="103" t="s">
        <v>251</v>
      </c>
      <c r="AB246" s="103"/>
      <c r="AC246" s="103"/>
      <c r="AD246" s="150"/>
    </row>
    <row r="247" spans="1:30" ht="15" customHeight="1">
      <c r="A247" s="265"/>
      <c r="B247" s="270"/>
      <c r="C247" s="101"/>
      <c r="D247" s="131" t="str">
        <f t="shared" ref="D247:D248" si="463">D246</f>
        <v>Turbomachines 2</v>
      </c>
      <c r="E247" s="102" t="str">
        <f t="shared" ref="E247:E248" si="464">E246</f>
        <v>D.Fites</v>
      </c>
      <c r="F247" s="109"/>
      <c r="G247" s="109"/>
      <c r="H247" s="102"/>
      <c r="I247" s="102" t="str">
        <f t="shared" si="461"/>
        <v>L3 Energétique</v>
      </c>
      <c r="J247" s="101"/>
      <c r="K247" s="176">
        <f t="shared" ref="K247:K248" si="465">K246</f>
        <v>0</v>
      </c>
      <c r="L247" s="102">
        <f t="shared" ref="L247:L248" si="466">L246</f>
        <v>0</v>
      </c>
      <c r="M247" s="109"/>
      <c r="N247" s="109"/>
      <c r="O247" s="102"/>
      <c r="P247" s="102"/>
      <c r="Q247" s="101"/>
      <c r="R247" s="176">
        <f t="shared" ref="R247:R248" si="467">R246</f>
        <v>0</v>
      </c>
      <c r="S247" s="102">
        <f t="shared" ref="S247:S248" si="468">S246</f>
        <v>0</v>
      </c>
      <c r="T247" s="112" t="s">
        <v>251</v>
      </c>
      <c r="U247" s="112" t="s">
        <v>290</v>
      </c>
      <c r="V247" s="102"/>
      <c r="W247" s="102" t="str">
        <f t="shared" si="462"/>
        <v>L3 Energétique</v>
      </c>
      <c r="X247" s="149"/>
      <c r="Y247" s="131">
        <f t="shared" ref="Y247:Y248" si="469">Y246</f>
        <v>0</v>
      </c>
      <c r="Z247" s="103">
        <f t="shared" ref="Z247:Z248" si="470">Z246</f>
        <v>0</v>
      </c>
      <c r="AA247" s="103"/>
      <c r="AB247" s="103"/>
      <c r="AC247" s="103"/>
      <c r="AD247" s="150"/>
    </row>
    <row r="248" spans="1:30" ht="15" customHeight="1">
      <c r="A248" s="265"/>
      <c r="B248" s="270"/>
      <c r="C248" s="101"/>
      <c r="D248" s="131" t="str">
        <f t="shared" si="463"/>
        <v>Turbomachines 2</v>
      </c>
      <c r="E248" s="102" t="str">
        <f t="shared" si="464"/>
        <v>D.Fites</v>
      </c>
      <c r="F248" s="112"/>
      <c r="G248" s="112"/>
      <c r="H248" s="102"/>
      <c r="I248" s="102" t="str">
        <f t="shared" si="461"/>
        <v>L3 Energétique</v>
      </c>
      <c r="J248" s="101"/>
      <c r="K248" s="176">
        <f t="shared" si="465"/>
        <v>0</v>
      </c>
      <c r="L248" s="102">
        <f t="shared" si="466"/>
        <v>0</v>
      </c>
      <c r="M248" s="112"/>
      <c r="N248" s="112"/>
      <c r="O248" s="102"/>
      <c r="P248" s="102"/>
      <c r="Q248" s="101"/>
      <c r="R248" s="176">
        <f t="shared" si="467"/>
        <v>0</v>
      </c>
      <c r="S248" s="102">
        <f t="shared" si="468"/>
        <v>0</v>
      </c>
      <c r="T248" s="112"/>
      <c r="U248" s="112"/>
      <c r="V248" s="102"/>
      <c r="W248" s="102" t="str">
        <f t="shared" si="462"/>
        <v>L3 Energétique</v>
      </c>
      <c r="X248" s="149"/>
      <c r="Y248" s="131">
        <f t="shared" si="469"/>
        <v>0</v>
      </c>
      <c r="Z248" s="103">
        <f t="shared" si="470"/>
        <v>0</v>
      </c>
      <c r="AA248" s="103"/>
      <c r="AB248" s="103"/>
      <c r="AC248" s="103"/>
      <c r="AD248" s="150"/>
    </row>
    <row r="249" spans="1:30" ht="15.75">
      <c r="A249" s="265"/>
      <c r="B249" s="80" t="s">
        <v>244</v>
      </c>
      <c r="C249" s="104"/>
      <c r="D249" s="132">
        <f>'Maset I'!C44</f>
        <v>0</v>
      </c>
      <c r="E249" s="123"/>
      <c r="F249" s="112"/>
      <c r="G249" s="112" t="s">
        <v>293</v>
      </c>
      <c r="H249" s="105"/>
      <c r="I249" s="105" t="str">
        <f>$B$51</f>
        <v>M1 Métallurgie</v>
      </c>
      <c r="J249" s="104"/>
      <c r="K249" s="177"/>
      <c r="L249" s="123"/>
      <c r="M249" s="112"/>
      <c r="N249" s="112" t="s">
        <v>293</v>
      </c>
      <c r="O249" s="105"/>
      <c r="P249" s="105"/>
      <c r="Q249" s="104"/>
      <c r="R249" s="177"/>
      <c r="S249" s="123"/>
      <c r="T249" s="112"/>
      <c r="U249" s="112"/>
      <c r="V249" s="105"/>
      <c r="W249" s="105" t="str">
        <f>$B$51</f>
        <v>M1 Métallurgie</v>
      </c>
      <c r="X249" s="151"/>
      <c r="Y249" s="132"/>
      <c r="Z249" s="152"/>
      <c r="AA249" s="106"/>
      <c r="AB249" s="106"/>
      <c r="AC249" s="106"/>
      <c r="AD249" s="153"/>
    </row>
    <row r="250" spans="1:30" ht="15" customHeight="1">
      <c r="A250" s="265"/>
      <c r="B250" s="271" t="s">
        <v>245</v>
      </c>
      <c r="C250" s="107"/>
      <c r="D250" s="133">
        <f>'Maset I'!C45</f>
        <v>0</v>
      </c>
      <c r="E250" s="126"/>
      <c r="F250" s="112"/>
      <c r="G250" s="112" t="s">
        <v>286</v>
      </c>
      <c r="H250" s="108"/>
      <c r="I250" s="108" t="str">
        <f>$B$52</f>
        <v>M1 Construction</v>
      </c>
      <c r="J250" s="107"/>
      <c r="K250" s="178"/>
      <c r="L250" s="126"/>
      <c r="M250" s="112"/>
      <c r="N250" s="112" t="s">
        <v>286</v>
      </c>
      <c r="O250" s="108"/>
      <c r="P250" s="108"/>
      <c r="Q250" s="107"/>
      <c r="R250" s="178"/>
      <c r="S250" s="126"/>
      <c r="T250" s="115"/>
      <c r="U250" s="115"/>
      <c r="V250" s="108"/>
      <c r="W250" s="108" t="str">
        <f>$B$52</f>
        <v>M1 Construction</v>
      </c>
      <c r="X250" s="154"/>
      <c r="Y250" s="133"/>
      <c r="Z250" s="155"/>
      <c r="AA250" s="109" t="s">
        <v>250</v>
      </c>
      <c r="AB250" s="109"/>
      <c r="AC250" s="109"/>
      <c r="AD250" s="156"/>
    </row>
    <row r="251" spans="1:30" ht="15" customHeight="1">
      <c r="A251" s="265"/>
      <c r="B251" s="271"/>
      <c r="C251" s="107"/>
      <c r="D251" s="133">
        <f>D250</f>
        <v>0</v>
      </c>
      <c r="E251" s="108">
        <f>E250</f>
        <v>0</v>
      </c>
      <c r="F251" s="112"/>
      <c r="G251" s="112"/>
      <c r="H251" s="108"/>
      <c r="I251" s="108" t="str">
        <f t="shared" ref="I251:I253" si="471">$B$52</f>
        <v>M1 Construction</v>
      </c>
      <c r="J251" s="107"/>
      <c r="K251" s="178">
        <f>K250</f>
        <v>0</v>
      </c>
      <c r="L251" s="108">
        <f>L250</f>
        <v>0</v>
      </c>
      <c r="M251" s="112"/>
      <c r="N251" s="112"/>
      <c r="O251" s="108"/>
      <c r="P251" s="108"/>
      <c r="Q251" s="107"/>
      <c r="R251" s="178">
        <f>R250</f>
        <v>0</v>
      </c>
      <c r="S251" s="108">
        <f>S250</f>
        <v>0</v>
      </c>
      <c r="T251" s="117" t="s">
        <v>250</v>
      </c>
      <c r="U251" s="117"/>
      <c r="V251" s="108"/>
      <c r="W251" s="108" t="str">
        <f t="shared" ref="W251:W253" si="472">$B$52</f>
        <v>M1 Construction</v>
      </c>
      <c r="X251" s="154"/>
      <c r="Y251" s="133">
        <f>Y250</f>
        <v>0</v>
      </c>
      <c r="Z251" s="109">
        <f>Z250</f>
        <v>0</v>
      </c>
      <c r="AA251" s="109" t="s">
        <v>251</v>
      </c>
      <c r="AB251" s="109"/>
      <c r="AC251" s="109"/>
      <c r="AD251" s="156"/>
    </row>
    <row r="252" spans="1:30" ht="15" customHeight="1">
      <c r="A252" s="265"/>
      <c r="B252" s="271"/>
      <c r="C252" s="107"/>
      <c r="D252" s="133">
        <f t="shared" ref="D252:D253" si="473">D251</f>
        <v>0</v>
      </c>
      <c r="E252" s="108">
        <f t="shared" ref="E252:E253" si="474">E251</f>
        <v>0</v>
      </c>
      <c r="F252" s="115"/>
      <c r="G252" s="115"/>
      <c r="H252" s="108"/>
      <c r="I252" s="108" t="str">
        <f t="shared" si="471"/>
        <v>M1 Construction</v>
      </c>
      <c r="J252" s="107"/>
      <c r="K252" s="178">
        <f t="shared" ref="K252:K253" si="475">K251</f>
        <v>0</v>
      </c>
      <c r="L252" s="108">
        <f t="shared" ref="L252:L253" si="476">L251</f>
        <v>0</v>
      </c>
      <c r="M252" s="115"/>
      <c r="N252" s="115"/>
      <c r="O252" s="108"/>
      <c r="P252" s="108"/>
      <c r="Q252" s="107"/>
      <c r="R252" s="178">
        <f t="shared" ref="R252:R253" si="477">R251</f>
        <v>0</v>
      </c>
      <c r="S252" s="108">
        <f t="shared" ref="S252:S253" si="478">S251</f>
        <v>0</v>
      </c>
      <c r="T252" s="117" t="s">
        <v>251</v>
      </c>
      <c r="U252" s="117"/>
      <c r="V252" s="108"/>
      <c r="W252" s="108" t="str">
        <f t="shared" si="472"/>
        <v>M1 Construction</v>
      </c>
      <c r="X252" s="154"/>
      <c r="Y252" s="133">
        <f t="shared" ref="Y252:Y253" si="479">Y251</f>
        <v>0</v>
      </c>
      <c r="Z252" s="109">
        <f t="shared" ref="Z252:Z253" si="480">Z251</f>
        <v>0</v>
      </c>
      <c r="AA252" s="109"/>
      <c r="AB252" s="109"/>
      <c r="AC252" s="109"/>
      <c r="AD252" s="156"/>
    </row>
    <row r="253" spans="1:30" ht="15" customHeight="1">
      <c r="A253" s="265"/>
      <c r="B253" s="271"/>
      <c r="C253" s="107"/>
      <c r="D253" s="133">
        <f t="shared" si="473"/>
        <v>0</v>
      </c>
      <c r="E253" s="108">
        <f t="shared" si="474"/>
        <v>0</v>
      </c>
      <c r="F253" s="117"/>
      <c r="G253" s="117"/>
      <c r="H253" s="108"/>
      <c r="I253" s="108" t="str">
        <f t="shared" si="471"/>
        <v>M1 Construction</v>
      </c>
      <c r="J253" s="107"/>
      <c r="K253" s="178">
        <f t="shared" si="475"/>
        <v>0</v>
      </c>
      <c r="L253" s="108">
        <f t="shared" si="476"/>
        <v>0</v>
      </c>
      <c r="M253" s="117"/>
      <c r="N253" s="117"/>
      <c r="O253" s="108"/>
      <c r="P253" s="108"/>
      <c r="Q253" s="107"/>
      <c r="R253" s="178">
        <f t="shared" si="477"/>
        <v>0</v>
      </c>
      <c r="S253" s="108">
        <f t="shared" si="478"/>
        <v>0</v>
      </c>
      <c r="T253" s="116"/>
      <c r="U253" s="117"/>
      <c r="V253" s="108"/>
      <c r="W253" s="108" t="str">
        <f t="shared" si="472"/>
        <v>M1 Construction</v>
      </c>
      <c r="X253" s="154"/>
      <c r="Y253" s="133">
        <f t="shared" si="479"/>
        <v>0</v>
      </c>
      <c r="Z253" s="109">
        <f t="shared" si="480"/>
        <v>0</v>
      </c>
      <c r="AA253" s="109"/>
      <c r="AB253" s="109"/>
      <c r="AC253" s="109"/>
      <c r="AD253" s="156"/>
    </row>
    <row r="254" spans="1:30" ht="15" customHeight="1">
      <c r="A254" s="265"/>
      <c r="B254" s="272" t="s">
        <v>246</v>
      </c>
      <c r="C254" s="110" t="s">
        <v>273</v>
      </c>
      <c r="D254" s="134" t="str">
        <f>'Maset I'!C47</f>
        <v>Turbomachines approfondies</v>
      </c>
      <c r="E254" s="124" t="s">
        <v>69</v>
      </c>
      <c r="F254" s="117" t="s">
        <v>250</v>
      </c>
      <c r="G254" s="117" t="s">
        <v>289</v>
      </c>
      <c r="H254" s="111"/>
      <c r="I254" s="111" t="str">
        <f>$B$56</f>
        <v>M1 Energétique</v>
      </c>
      <c r="J254" s="110"/>
      <c r="K254" s="179"/>
      <c r="L254" s="124"/>
      <c r="M254" s="117" t="s">
        <v>250</v>
      </c>
      <c r="N254" s="117" t="s">
        <v>289</v>
      </c>
      <c r="O254" s="111"/>
      <c r="P254" s="111"/>
      <c r="Q254" s="110"/>
      <c r="R254" s="179"/>
      <c r="S254" s="124"/>
      <c r="T254" s="116"/>
      <c r="U254" s="117"/>
      <c r="V254" s="111"/>
      <c r="W254" s="111" t="str">
        <f>$B$56</f>
        <v>M1 Energétique</v>
      </c>
      <c r="X254" s="157"/>
      <c r="Y254" s="134"/>
      <c r="Z254" s="158"/>
      <c r="AA254" s="112" t="s">
        <v>250</v>
      </c>
      <c r="AB254" s="112"/>
      <c r="AC254" s="112"/>
      <c r="AD254" s="159"/>
    </row>
    <row r="255" spans="1:30" ht="15" customHeight="1">
      <c r="A255" s="265"/>
      <c r="B255" s="272"/>
      <c r="C255" s="110" t="s">
        <v>55</v>
      </c>
      <c r="D255" s="134" t="str">
        <f>D254</f>
        <v>Turbomachines approfondies</v>
      </c>
      <c r="E255" s="111" t="str">
        <f>E254</f>
        <v>A.Aliouali</v>
      </c>
      <c r="F255" s="116" t="s">
        <v>292</v>
      </c>
      <c r="G255" s="117" t="s">
        <v>290</v>
      </c>
      <c r="H255" s="111"/>
      <c r="I255" s="111" t="str">
        <f t="shared" ref="I255:I257" si="481">$B$56</f>
        <v>M1 Energétique</v>
      </c>
      <c r="J255" s="110"/>
      <c r="K255" s="179">
        <f>K254</f>
        <v>0</v>
      </c>
      <c r="L255" s="111">
        <f>L254</f>
        <v>0</v>
      </c>
      <c r="M255" s="116" t="s">
        <v>292</v>
      </c>
      <c r="N255" s="117" t="s">
        <v>290</v>
      </c>
      <c r="O255" s="111"/>
      <c r="P255" s="111"/>
      <c r="Q255" s="110"/>
      <c r="R255" s="179">
        <f>R254</f>
        <v>0</v>
      </c>
      <c r="S255" s="111">
        <f>S254</f>
        <v>0</v>
      </c>
      <c r="T255" s="119" t="s">
        <v>250</v>
      </c>
      <c r="U255" s="166"/>
      <c r="V255" s="111"/>
      <c r="W255" s="111" t="str">
        <f t="shared" ref="W255:W257" si="482">$B$56</f>
        <v>M1 Energétique</v>
      </c>
      <c r="X255" s="157"/>
      <c r="Y255" s="134">
        <f>Y254</f>
        <v>0</v>
      </c>
      <c r="Z255" s="112">
        <f>Z254</f>
        <v>0</v>
      </c>
      <c r="AA255" s="112" t="s">
        <v>251</v>
      </c>
      <c r="AB255" s="112"/>
      <c r="AC255" s="112"/>
      <c r="AD255" s="159"/>
    </row>
    <row r="256" spans="1:30" ht="15" customHeight="1">
      <c r="A256" s="265"/>
      <c r="B256" s="272"/>
      <c r="C256" s="110"/>
      <c r="D256" s="134" t="str">
        <f t="shared" ref="D256:D257" si="483">D255</f>
        <v>Turbomachines approfondies</v>
      </c>
      <c r="E256" s="111" t="str">
        <f t="shared" ref="E256:E257" si="484">E255</f>
        <v>A.Aliouali</v>
      </c>
      <c r="F256" s="116"/>
      <c r="G256" s="117"/>
      <c r="H256" s="111"/>
      <c r="I256" s="111" t="str">
        <f t="shared" si="481"/>
        <v>M1 Energétique</v>
      </c>
      <c r="J256" s="110"/>
      <c r="K256" s="179">
        <f t="shared" ref="K256:K257" si="485">K255</f>
        <v>0</v>
      </c>
      <c r="L256" s="111">
        <f t="shared" ref="L256:L257" si="486">L255</f>
        <v>0</v>
      </c>
      <c r="M256" s="116"/>
      <c r="N256" s="117"/>
      <c r="O256" s="111"/>
      <c r="P256" s="111"/>
      <c r="Q256" s="110"/>
      <c r="R256" s="179">
        <f t="shared" ref="R256:R257" si="487">R255</f>
        <v>0</v>
      </c>
      <c r="S256" s="111">
        <f t="shared" ref="S256:S257" si="488">S255</f>
        <v>0</v>
      </c>
      <c r="T256" s="119" t="s">
        <v>251</v>
      </c>
      <c r="U256" s="166"/>
      <c r="V256" s="111"/>
      <c r="W256" s="111" t="str">
        <f t="shared" si="482"/>
        <v>M1 Energétique</v>
      </c>
      <c r="X256" s="157"/>
      <c r="Y256" s="134">
        <f t="shared" ref="Y256:Y257" si="489">Y255</f>
        <v>0</v>
      </c>
      <c r="Z256" s="112">
        <f t="shared" ref="Z256:Z257" si="490">Z255</f>
        <v>0</v>
      </c>
      <c r="AA256" s="112"/>
      <c r="AB256" s="112"/>
      <c r="AC256" s="112"/>
      <c r="AD256" s="159"/>
    </row>
    <row r="257" spans="1:30" ht="15" customHeight="1">
      <c r="A257" s="265"/>
      <c r="B257" s="272"/>
      <c r="C257" s="110" t="s">
        <v>69</v>
      </c>
      <c r="D257" s="134" t="str">
        <f t="shared" si="483"/>
        <v>Turbomachines approfondies</v>
      </c>
      <c r="E257" s="111" t="str">
        <f t="shared" si="484"/>
        <v>A.Aliouali</v>
      </c>
      <c r="F257" s="119"/>
      <c r="G257" s="166"/>
      <c r="H257" s="111"/>
      <c r="I257" s="111" t="str">
        <f t="shared" si="481"/>
        <v>M1 Energétique</v>
      </c>
      <c r="J257" s="110"/>
      <c r="K257" s="179">
        <f t="shared" si="485"/>
        <v>0</v>
      </c>
      <c r="L257" s="111">
        <f t="shared" si="486"/>
        <v>0</v>
      </c>
      <c r="M257" s="119"/>
      <c r="N257" s="166"/>
      <c r="O257" s="111"/>
      <c r="P257" s="111"/>
      <c r="Q257" s="110"/>
      <c r="R257" s="179">
        <f t="shared" si="487"/>
        <v>0</v>
      </c>
      <c r="S257" s="111">
        <f t="shared" si="488"/>
        <v>0</v>
      </c>
      <c r="T257" s="119"/>
      <c r="U257" s="166"/>
      <c r="V257" s="111"/>
      <c r="W257" s="111" t="str">
        <f t="shared" si="482"/>
        <v>M1 Energétique</v>
      </c>
      <c r="X257" s="157"/>
      <c r="Y257" s="134">
        <f t="shared" si="489"/>
        <v>0</v>
      </c>
      <c r="Z257" s="112">
        <f t="shared" si="490"/>
        <v>0</v>
      </c>
      <c r="AA257" s="112"/>
      <c r="AB257" s="112"/>
      <c r="AC257" s="112"/>
      <c r="AD257" s="159"/>
    </row>
    <row r="258" spans="1:30" ht="16.5" thickBot="1">
      <c r="A258" s="265"/>
      <c r="B258" s="81" t="s">
        <v>247</v>
      </c>
      <c r="C258" s="113"/>
      <c r="D258" s="135"/>
      <c r="E258" s="122"/>
      <c r="F258" s="119"/>
      <c r="G258" s="166"/>
      <c r="H258" s="114"/>
      <c r="I258" s="114"/>
      <c r="J258" s="113"/>
      <c r="K258" s="180"/>
      <c r="L258" s="122"/>
      <c r="M258" s="119"/>
      <c r="N258" s="166"/>
      <c r="O258" s="114"/>
      <c r="P258" s="114"/>
      <c r="Q258" s="113"/>
      <c r="R258" s="180"/>
      <c r="S258" s="122"/>
      <c r="T258" s="121"/>
      <c r="U258" s="169"/>
      <c r="V258" s="114"/>
      <c r="W258" s="114"/>
      <c r="X258" s="160"/>
      <c r="Y258" s="135"/>
      <c r="Z258" s="161"/>
      <c r="AA258" s="115"/>
      <c r="AB258" s="115"/>
      <c r="AC258" s="115"/>
      <c r="AD258" s="162"/>
    </row>
    <row r="259" spans="1:30" ht="15" customHeight="1">
      <c r="A259" s="265"/>
      <c r="B259" s="268" t="s">
        <v>248</v>
      </c>
      <c r="C259" s="93"/>
      <c r="D259" s="136"/>
      <c r="E259" s="92"/>
      <c r="F259" s="119"/>
      <c r="G259" s="166"/>
      <c r="H259" s="116"/>
      <c r="I259" s="116"/>
      <c r="J259" s="93"/>
      <c r="K259" s="181"/>
      <c r="L259" s="92"/>
      <c r="M259" s="119"/>
      <c r="N259" s="166"/>
      <c r="O259" s="116"/>
      <c r="P259" s="116"/>
      <c r="Q259" s="93"/>
      <c r="R259" s="181"/>
      <c r="S259" s="92"/>
      <c r="T259" s="117" t="s">
        <v>250</v>
      </c>
      <c r="U259" s="117"/>
      <c r="V259" s="116"/>
      <c r="W259" s="116"/>
      <c r="X259" s="143"/>
      <c r="Y259" s="136"/>
      <c r="Z259" s="87"/>
      <c r="AA259" s="117" t="s">
        <v>250</v>
      </c>
      <c r="AB259" s="117"/>
      <c r="AC259" s="117"/>
      <c r="AD259" s="163"/>
    </row>
    <row r="260" spans="1:30" ht="15" customHeight="1" thickBot="1">
      <c r="A260" s="265"/>
      <c r="B260" s="268"/>
      <c r="C260" s="93"/>
      <c r="D260" s="136">
        <f>D259</f>
        <v>0</v>
      </c>
      <c r="E260" s="116">
        <f>E259</f>
        <v>0</v>
      </c>
      <c r="F260" s="121"/>
      <c r="G260" s="169"/>
      <c r="H260" s="116"/>
      <c r="I260" s="116"/>
      <c r="J260" s="93"/>
      <c r="K260" s="181">
        <f>K259</f>
        <v>0</v>
      </c>
      <c r="L260" s="116">
        <f>L259</f>
        <v>0</v>
      </c>
      <c r="M260" s="121"/>
      <c r="N260" s="169"/>
      <c r="O260" s="116"/>
      <c r="P260" s="116"/>
      <c r="Q260" s="93"/>
      <c r="R260" s="181">
        <f>R259</f>
        <v>0</v>
      </c>
      <c r="S260" s="116">
        <f>S259</f>
        <v>0</v>
      </c>
      <c r="T260" s="117" t="s">
        <v>251</v>
      </c>
      <c r="U260" s="117"/>
      <c r="V260" s="116"/>
      <c r="W260" s="116"/>
      <c r="X260" s="143"/>
      <c r="Y260" s="136">
        <f>Y259</f>
        <v>0</v>
      </c>
      <c r="Z260" s="117">
        <f>Z259</f>
        <v>0</v>
      </c>
      <c r="AA260" s="117" t="s">
        <v>251</v>
      </c>
      <c r="AB260" s="117"/>
      <c r="AC260" s="117"/>
      <c r="AD260" s="163"/>
    </row>
    <row r="261" spans="1:30" ht="15" customHeight="1">
      <c r="A261" s="265"/>
      <c r="B261" s="268"/>
      <c r="C261" s="93"/>
      <c r="D261" s="136">
        <f t="shared" ref="D261:D262" si="491">D260</f>
        <v>0</v>
      </c>
      <c r="E261" s="116">
        <f t="shared" ref="E261:E262" si="492">E260</f>
        <v>0</v>
      </c>
      <c r="F261" s="90"/>
      <c r="G261" s="89"/>
      <c r="H261" s="116"/>
      <c r="I261" s="116"/>
      <c r="J261" s="93"/>
      <c r="K261" s="181">
        <f t="shared" ref="K261:K262" si="493">K260</f>
        <v>0</v>
      </c>
      <c r="L261" s="116">
        <f t="shared" ref="L261:L262" si="494">L260</f>
        <v>0</v>
      </c>
      <c r="M261" s="90"/>
      <c r="N261" s="89"/>
      <c r="O261" s="116"/>
      <c r="P261" s="116"/>
      <c r="Q261" s="93"/>
      <c r="R261" s="181">
        <f t="shared" ref="R261:R262" si="495">R260</f>
        <v>0</v>
      </c>
      <c r="S261" s="116">
        <f t="shared" ref="S261:S262" si="496">S260</f>
        <v>0</v>
      </c>
      <c r="T261" s="116"/>
      <c r="U261" s="117"/>
      <c r="V261" s="116"/>
      <c r="W261" s="116"/>
      <c r="X261" s="143"/>
      <c r="Y261" s="136">
        <f t="shared" ref="Y261:Y262" si="497">Y260</f>
        <v>0</v>
      </c>
      <c r="Z261" s="117">
        <f t="shared" ref="Z261:Z262" si="498">Z260</f>
        <v>0</v>
      </c>
      <c r="AA261" s="117"/>
      <c r="AB261" s="117"/>
      <c r="AC261" s="117"/>
      <c r="AD261" s="163"/>
    </row>
    <row r="262" spans="1:30" ht="15" customHeight="1">
      <c r="A262" s="265"/>
      <c r="B262" s="268"/>
      <c r="C262" s="93"/>
      <c r="D262" s="136">
        <f t="shared" si="491"/>
        <v>0</v>
      </c>
      <c r="E262" s="116">
        <f t="shared" si="492"/>
        <v>0</v>
      </c>
      <c r="F262" s="87" t="s">
        <v>250</v>
      </c>
      <c r="G262" s="92"/>
      <c r="H262" s="116"/>
      <c r="I262" s="116"/>
      <c r="J262" s="93"/>
      <c r="K262" s="181">
        <f t="shared" si="493"/>
        <v>0</v>
      </c>
      <c r="L262" s="116">
        <f t="shared" si="494"/>
        <v>0</v>
      </c>
      <c r="M262" s="87" t="s">
        <v>250</v>
      </c>
      <c r="N262" s="92"/>
      <c r="O262" s="116"/>
      <c r="P262" s="116"/>
      <c r="Q262" s="93"/>
      <c r="R262" s="181">
        <f t="shared" si="495"/>
        <v>0</v>
      </c>
      <c r="S262" s="116">
        <f t="shared" si="496"/>
        <v>0</v>
      </c>
      <c r="T262" s="116"/>
      <c r="U262" s="117"/>
      <c r="V262" s="116"/>
      <c r="W262" s="116"/>
      <c r="X262" s="143"/>
      <c r="Y262" s="136">
        <f t="shared" si="497"/>
        <v>0</v>
      </c>
      <c r="Z262" s="117">
        <f t="shared" si="498"/>
        <v>0</v>
      </c>
      <c r="AA262" s="117"/>
      <c r="AB262" s="117"/>
      <c r="AC262" s="117"/>
      <c r="AD262" s="163"/>
    </row>
    <row r="263" spans="1:30" ht="15" customHeight="1">
      <c r="A263" s="265"/>
      <c r="B263" s="273" t="s">
        <v>249</v>
      </c>
      <c r="C263" s="118"/>
      <c r="D263" s="137"/>
      <c r="E263" s="125"/>
      <c r="F263" s="87" t="s">
        <v>251</v>
      </c>
      <c r="G263" s="92"/>
      <c r="H263" s="119"/>
      <c r="I263" s="119"/>
      <c r="J263" s="118"/>
      <c r="K263" s="182"/>
      <c r="L263" s="125"/>
      <c r="M263" s="87" t="s">
        <v>251</v>
      </c>
      <c r="N263" s="92"/>
      <c r="O263" s="119"/>
      <c r="P263" s="119"/>
      <c r="Q263" s="118"/>
      <c r="R263" s="182"/>
      <c r="S263" s="125"/>
      <c r="T263" s="119" t="s">
        <v>250</v>
      </c>
      <c r="U263" s="166"/>
      <c r="V263" s="119"/>
      <c r="W263" s="119"/>
      <c r="X263" s="164"/>
      <c r="Y263" s="137"/>
      <c r="Z263" s="165"/>
      <c r="AA263" s="166" t="s">
        <v>250</v>
      </c>
      <c r="AB263" s="166"/>
      <c r="AC263" s="166"/>
      <c r="AD263" s="167"/>
    </row>
    <row r="264" spans="1:30" ht="15" customHeight="1">
      <c r="A264" s="265"/>
      <c r="B264" s="273"/>
      <c r="C264" s="118"/>
      <c r="D264" s="137">
        <f>D263</f>
        <v>0</v>
      </c>
      <c r="E264" s="119">
        <f>E263</f>
        <v>0</v>
      </c>
      <c r="F264" s="87" t="s">
        <v>252</v>
      </c>
      <c r="G264" s="92"/>
      <c r="H264" s="119"/>
      <c r="I264" s="119"/>
      <c r="J264" s="118"/>
      <c r="K264" s="182">
        <f>K263</f>
        <v>0</v>
      </c>
      <c r="L264" s="119">
        <f>L263</f>
        <v>0</v>
      </c>
      <c r="M264" s="87" t="s">
        <v>252</v>
      </c>
      <c r="N264" s="92"/>
      <c r="O264" s="119"/>
      <c r="P264" s="119"/>
      <c r="Q264" s="118"/>
      <c r="R264" s="182">
        <f>R263</f>
        <v>0</v>
      </c>
      <c r="S264" s="119">
        <f>S263</f>
        <v>0</v>
      </c>
      <c r="T264" s="119" t="s">
        <v>251</v>
      </c>
      <c r="U264" s="166"/>
      <c r="V264" s="119"/>
      <c r="W264" s="119"/>
      <c r="X264" s="164"/>
      <c r="Y264" s="137">
        <f>Y263</f>
        <v>0</v>
      </c>
      <c r="Z264" s="166">
        <f>Z263</f>
        <v>0</v>
      </c>
      <c r="AA264" s="166" t="s">
        <v>251</v>
      </c>
      <c r="AB264" s="166"/>
      <c r="AC264" s="166"/>
      <c r="AD264" s="167"/>
    </row>
    <row r="265" spans="1:30" ht="15" customHeight="1">
      <c r="A265" s="265"/>
      <c r="B265" s="273"/>
      <c r="C265" s="118"/>
      <c r="D265" s="137">
        <f t="shared" ref="D265:D266" si="499">D264</f>
        <v>0</v>
      </c>
      <c r="E265" s="119">
        <f t="shared" ref="E265:E266" si="500">E264</f>
        <v>0</v>
      </c>
      <c r="F265" s="87"/>
      <c r="G265" s="92"/>
      <c r="H265" s="119"/>
      <c r="I265" s="119"/>
      <c r="J265" s="118"/>
      <c r="K265" s="182">
        <f t="shared" ref="K265:K266" si="501">K264</f>
        <v>0</v>
      </c>
      <c r="L265" s="119">
        <f t="shared" ref="L265:L266" si="502">L264</f>
        <v>0</v>
      </c>
      <c r="M265" s="87"/>
      <c r="N265" s="92"/>
      <c r="O265" s="119"/>
      <c r="P265" s="119"/>
      <c r="Q265" s="118"/>
      <c r="R265" s="182">
        <f t="shared" ref="R265:R266" si="503">R264</f>
        <v>0</v>
      </c>
      <c r="S265" s="119">
        <f t="shared" ref="S265:S266" si="504">S264</f>
        <v>0</v>
      </c>
      <c r="T265" s="119"/>
      <c r="U265" s="166"/>
      <c r="V265" s="119"/>
      <c r="W265" s="119"/>
      <c r="X265" s="164"/>
      <c r="Y265" s="137">
        <f t="shared" ref="Y265:Y266" si="505">Y264</f>
        <v>0</v>
      </c>
      <c r="Z265" s="166">
        <f t="shared" ref="Z265:Z266" si="506">Z264</f>
        <v>0</v>
      </c>
      <c r="AA265" s="166"/>
      <c r="AB265" s="166"/>
      <c r="AC265" s="166"/>
      <c r="AD265" s="167"/>
    </row>
    <row r="266" spans="1:30" ht="15.75" customHeight="1" thickBot="1">
      <c r="A266" s="266"/>
      <c r="B266" s="274"/>
      <c r="C266" s="120"/>
      <c r="D266" s="138">
        <f t="shared" si="499"/>
        <v>0</v>
      </c>
      <c r="E266" s="121">
        <f t="shared" si="500"/>
        <v>0</v>
      </c>
      <c r="F266" s="87"/>
      <c r="G266" s="92"/>
      <c r="H266" s="121"/>
      <c r="I266" s="121"/>
      <c r="J266" s="120"/>
      <c r="K266" s="183">
        <f t="shared" si="501"/>
        <v>0</v>
      </c>
      <c r="L266" s="121">
        <f t="shared" si="502"/>
        <v>0</v>
      </c>
      <c r="M266" s="87"/>
      <c r="N266" s="92"/>
      <c r="O266" s="121"/>
      <c r="P266" s="121"/>
      <c r="Q266" s="120"/>
      <c r="R266" s="183">
        <f t="shared" si="503"/>
        <v>0</v>
      </c>
      <c r="S266" s="121">
        <f t="shared" si="504"/>
        <v>0</v>
      </c>
      <c r="T266" s="121"/>
      <c r="U266" s="169"/>
      <c r="V266" s="121"/>
      <c r="W266" s="121"/>
      <c r="X266" s="168"/>
      <c r="Y266" s="138">
        <f t="shared" si="505"/>
        <v>0</v>
      </c>
      <c r="Z266" s="169">
        <f t="shared" si="506"/>
        <v>0</v>
      </c>
      <c r="AA266" s="169"/>
      <c r="AB266" s="169"/>
      <c r="AC266" s="169"/>
      <c r="AD266" s="170"/>
    </row>
    <row r="267" spans="1:30" ht="16.5" thickBot="1">
      <c r="A267" s="264" t="s">
        <v>269</v>
      </c>
      <c r="B267" s="86" t="s">
        <v>239</v>
      </c>
      <c r="C267" s="88"/>
      <c r="D267" s="127"/>
      <c r="E267" s="89"/>
      <c r="F267" s="97"/>
      <c r="G267" s="97" t="s">
        <v>291</v>
      </c>
      <c r="H267" s="89"/>
      <c r="I267" s="89"/>
      <c r="J267" s="88"/>
      <c r="K267" s="172"/>
      <c r="L267" s="89"/>
      <c r="M267" s="97"/>
      <c r="N267" s="97" t="s">
        <v>291</v>
      </c>
      <c r="O267" s="89"/>
      <c r="P267" s="89"/>
      <c r="Q267" s="88"/>
      <c r="R267" s="172"/>
      <c r="S267" s="89"/>
      <c r="T267" s="100" t="s">
        <v>251</v>
      </c>
      <c r="U267" s="100" t="s">
        <v>284</v>
      </c>
      <c r="V267" s="89"/>
      <c r="W267" s="89"/>
      <c r="X267" s="139"/>
      <c r="Y267" s="127"/>
      <c r="Z267" s="90"/>
      <c r="AA267" s="90"/>
      <c r="AB267" s="90"/>
      <c r="AC267" s="90"/>
      <c r="AD267" s="140"/>
    </row>
    <row r="268" spans="1:30" ht="15.75">
      <c r="A268" s="265"/>
      <c r="B268" s="267" t="s">
        <v>240</v>
      </c>
      <c r="C268" s="91"/>
      <c r="D268" s="128"/>
      <c r="E268" s="92"/>
      <c r="F268" s="100"/>
      <c r="G268" s="100"/>
      <c r="H268" s="92"/>
      <c r="I268" s="92"/>
      <c r="J268" s="91"/>
      <c r="K268" s="173"/>
      <c r="L268" s="92"/>
      <c r="M268" s="100"/>
      <c r="N268" s="100"/>
      <c r="O268" s="92"/>
      <c r="P268" s="92"/>
      <c r="Q268" s="91"/>
      <c r="R268" s="173"/>
      <c r="S268" s="92"/>
      <c r="T268" s="100"/>
      <c r="U268" s="100" t="s">
        <v>284</v>
      </c>
      <c r="V268" s="92"/>
      <c r="W268" s="92"/>
      <c r="X268" s="141"/>
      <c r="Y268" s="128"/>
      <c r="Z268" s="87"/>
      <c r="AA268" s="87" t="s">
        <v>250</v>
      </c>
      <c r="AB268" s="87"/>
      <c r="AC268" s="87"/>
      <c r="AD268" s="142"/>
    </row>
    <row r="269" spans="1:30" ht="15.75">
      <c r="A269" s="265"/>
      <c r="B269" s="268"/>
      <c r="C269" s="93"/>
      <c r="D269" s="128">
        <f>D268</f>
        <v>0</v>
      </c>
      <c r="E269" s="92">
        <f>E268</f>
        <v>0</v>
      </c>
      <c r="F269" s="100"/>
      <c r="G269" s="100"/>
      <c r="H269" s="92"/>
      <c r="I269" s="92"/>
      <c r="J269" s="93"/>
      <c r="K269" s="173">
        <f>K268</f>
        <v>0</v>
      </c>
      <c r="L269" s="92">
        <f>L268</f>
        <v>0</v>
      </c>
      <c r="M269" s="100"/>
      <c r="N269" s="100"/>
      <c r="O269" s="92"/>
      <c r="P269" s="92"/>
      <c r="Q269" s="93"/>
      <c r="R269" s="173">
        <f>R268</f>
        <v>0</v>
      </c>
      <c r="S269" s="92">
        <f>S268</f>
        <v>0</v>
      </c>
      <c r="T269" s="100"/>
      <c r="U269" s="100"/>
      <c r="V269" s="92"/>
      <c r="W269" s="92"/>
      <c r="X269" s="143"/>
      <c r="Y269" s="128">
        <f>Y268</f>
        <v>0</v>
      </c>
      <c r="Z269" s="87">
        <f>Z268</f>
        <v>0</v>
      </c>
      <c r="AA269" s="87" t="s">
        <v>251</v>
      </c>
      <c r="AB269" s="87"/>
      <c r="AC269" s="87"/>
      <c r="AD269" s="142"/>
    </row>
    <row r="270" spans="1:30" ht="15.75">
      <c r="A270" s="265"/>
      <c r="B270" s="268"/>
      <c r="C270" s="93"/>
      <c r="D270" s="128">
        <f t="shared" ref="D270:E272" si="507">D269</f>
        <v>0</v>
      </c>
      <c r="E270" s="92">
        <f t="shared" si="507"/>
        <v>0</v>
      </c>
      <c r="F270" s="100"/>
      <c r="G270" s="100"/>
      <c r="H270" s="92"/>
      <c r="I270" s="92"/>
      <c r="J270" s="93"/>
      <c r="K270" s="173">
        <f t="shared" ref="K270:L272" si="508">K269</f>
        <v>0</v>
      </c>
      <c r="L270" s="92">
        <f t="shared" si="508"/>
        <v>0</v>
      </c>
      <c r="M270" s="100"/>
      <c r="N270" s="100"/>
      <c r="O270" s="92"/>
      <c r="P270" s="92"/>
      <c r="Q270" s="93"/>
      <c r="R270" s="173">
        <f t="shared" ref="R270:S272" si="509">R269</f>
        <v>0</v>
      </c>
      <c r="S270" s="92">
        <f t="shared" si="509"/>
        <v>0</v>
      </c>
      <c r="T270" s="103" t="s">
        <v>250</v>
      </c>
      <c r="U270" s="103" t="s">
        <v>285</v>
      </c>
      <c r="V270" s="92"/>
      <c r="W270" s="92"/>
      <c r="X270" s="143"/>
      <c r="Y270" s="128">
        <f t="shared" ref="Y270:Z272" si="510">Y269</f>
        <v>0</v>
      </c>
      <c r="Z270" s="87">
        <f t="shared" si="510"/>
        <v>0</v>
      </c>
      <c r="AA270" s="87" t="s">
        <v>252</v>
      </c>
      <c r="AB270" s="87"/>
      <c r="AC270" s="87"/>
      <c r="AD270" s="142"/>
    </row>
    <row r="271" spans="1:30" ht="15.75">
      <c r="A271" s="265"/>
      <c r="B271" s="268"/>
      <c r="C271" s="93"/>
      <c r="D271" s="128">
        <f t="shared" si="507"/>
        <v>0</v>
      </c>
      <c r="E271" s="92">
        <f t="shared" si="507"/>
        <v>0</v>
      </c>
      <c r="F271" s="100"/>
      <c r="G271" s="100"/>
      <c r="H271" s="92"/>
      <c r="I271" s="92"/>
      <c r="J271" s="93"/>
      <c r="K271" s="173">
        <f t="shared" si="508"/>
        <v>0</v>
      </c>
      <c r="L271" s="92">
        <f t="shared" si="508"/>
        <v>0</v>
      </c>
      <c r="M271" s="100"/>
      <c r="N271" s="100"/>
      <c r="O271" s="92"/>
      <c r="P271" s="92"/>
      <c r="Q271" s="93"/>
      <c r="R271" s="173">
        <f t="shared" si="509"/>
        <v>0</v>
      </c>
      <c r="S271" s="92">
        <f t="shared" si="509"/>
        <v>0</v>
      </c>
      <c r="T271" s="103"/>
      <c r="U271" s="103" t="s">
        <v>285</v>
      </c>
      <c r="V271" s="92"/>
      <c r="W271" s="92"/>
      <c r="X271" s="143"/>
      <c r="Y271" s="128">
        <f t="shared" si="510"/>
        <v>0</v>
      </c>
      <c r="Z271" s="87">
        <f t="shared" si="510"/>
        <v>0</v>
      </c>
      <c r="AA271" s="87"/>
      <c r="AB271" s="87"/>
      <c r="AC271" s="87"/>
      <c r="AD271" s="142"/>
    </row>
    <row r="272" spans="1:30" ht="15.75">
      <c r="A272" s="265"/>
      <c r="B272" s="268"/>
      <c r="C272" s="94"/>
      <c r="D272" s="128">
        <f t="shared" si="507"/>
        <v>0</v>
      </c>
      <c r="E272" s="92">
        <f t="shared" si="507"/>
        <v>0</v>
      </c>
      <c r="F272" s="103"/>
      <c r="G272" s="103"/>
      <c r="H272" s="92"/>
      <c r="I272" s="92"/>
      <c r="J272" s="94"/>
      <c r="K272" s="173">
        <f t="shared" si="508"/>
        <v>0</v>
      </c>
      <c r="L272" s="92">
        <f t="shared" si="508"/>
        <v>0</v>
      </c>
      <c r="M272" s="103"/>
      <c r="N272" s="103"/>
      <c r="O272" s="92"/>
      <c r="P272" s="92"/>
      <c r="Q272" s="94"/>
      <c r="R272" s="173">
        <f t="shared" si="509"/>
        <v>0</v>
      </c>
      <c r="S272" s="92">
        <f t="shared" si="509"/>
        <v>0</v>
      </c>
      <c r="T272" s="103"/>
      <c r="U272" s="103" t="s">
        <v>285</v>
      </c>
      <c r="V272" s="92"/>
      <c r="W272" s="92"/>
      <c r="X272" s="144"/>
      <c r="Y272" s="128">
        <f t="shared" si="510"/>
        <v>0</v>
      </c>
      <c r="Z272" s="87">
        <f t="shared" si="510"/>
        <v>0</v>
      </c>
      <c r="AA272" s="87"/>
      <c r="AB272" s="87"/>
      <c r="AC272" s="87"/>
      <c r="AD272" s="142"/>
    </row>
    <row r="273" spans="1:30" ht="15.75">
      <c r="A273" s="265"/>
      <c r="B273" s="79" t="s">
        <v>241</v>
      </c>
      <c r="C273" s="95"/>
      <c r="D273" s="129"/>
      <c r="E273" s="96"/>
      <c r="F273" s="103"/>
      <c r="G273" s="103" t="s">
        <v>287</v>
      </c>
      <c r="H273" s="96"/>
      <c r="I273" s="96" t="str">
        <f>$B$42</f>
        <v>L3 Métallurgie</v>
      </c>
      <c r="J273" s="95"/>
      <c r="K273" s="174"/>
      <c r="L273" s="96"/>
      <c r="M273" s="103"/>
      <c r="N273" s="103" t="s">
        <v>287</v>
      </c>
      <c r="O273" s="96"/>
      <c r="P273" s="96"/>
      <c r="Q273" s="95"/>
      <c r="R273" s="174"/>
      <c r="S273" s="96"/>
      <c r="T273" s="103"/>
      <c r="U273" s="103"/>
      <c r="V273" s="96"/>
      <c r="W273" s="96" t="str">
        <f>$B$42</f>
        <v>L3 Métallurgie</v>
      </c>
      <c r="X273" s="145"/>
      <c r="Y273" s="129"/>
      <c r="Z273" s="97"/>
      <c r="AA273" s="97"/>
      <c r="AB273" s="97"/>
      <c r="AC273" s="97"/>
      <c r="AD273" s="146"/>
    </row>
    <row r="274" spans="1:30" ht="15.75">
      <c r="A274" s="265"/>
      <c r="B274" s="269" t="s">
        <v>242</v>
      </c>
      <c r="C274" s="98"/>
      <c r="D274" s="130"/>
      <c r="E274" s="99"/>
      <c r="F274" s="103" t="s">
        <v>250</v>
      </c>
      <c r="G274" s="103" t="s">
        <v>284</v>
      </c>
      <c r="H274" s="99"/>
      <c r="I274" s="99" t="str">
        <f>$B$43</f>
        <v>L3 Construction</v>
      </c>
      <c r="J274" s="98"/>
      <c r="K274" s="175"/>
      <c r="L274" s="99"/>
      <c r="M274" s="103" t="s">
        <v>250</v>
      </c>
      <c r="N274" s="103" t="s">
        <v>284</v>
      </c>
      <c r="O274" s="99"/>
      <c r="P274" s="99"/>
      <c r="Q274" s="98"/>
      <c r="R274" s="175"/>
      <c r="S274" s="99"/>
      <c r="T274" s="106"/>
      <c r="U274" s="106" t="s">
        <v>288</v>
      </c>
      <c r="V274" s="99"/>
      <c r="W274" s="99" t="str">
        <f>$B$43</f>
        <v>L3 Construction</v>
      </c>
      <c r="X274" s="147"/>
      <c r="Y274" s="130"/>
      <c r="Z274" s="100"/>
      <c r="AA274" s="100" t="s">
        <v>250</v>
      </c>
      <c r="AB274" s="100"/>
      <c r="AC274" s="100"/>
      <c r="AD274" s="148"/>
    </row>
    <row r="275" spans="1:30" ht="15.75">
      <c r="A275" s="265"/>
      <c r="B275" s="269"/>
      <c r="C275" s="98"/>
      <c r="D275" s="130">
        <f>D274</f>
        <v>0</v>
      </c>
      <c r="E275" s="99">
        <f>E274</f>
        <v>0</v>
      </c>
      <c r="F275" s="103" t="s">
        <v>250</v>
      </c>
      <c r="G275" s="103" t="s">
        <v>284</v>
      </c>
      <c r="H275" s="99"/>
      <c r="I275" s="99" t="str">
        <f t="shared" ref="I275:I277" si="511">$B$43</f>
        <v>L3 Construction</v>
      </c>
      <c r="J275" s="98"/>
      <c r="K275" s="175">
        <f>K274</f>
        <v>0</v>
      </c>
      <c r="L275" s="99">
        <f>L274</f>
        <v>0</v>
      </c>
      <c r="M275" s="103" t="s">
        <v>250</v>
      </c>
      <c r="N275" s="103" t="s">
        <v>284</v>
      </c>
      <c r="O275" s="99"/>
      <c r="P275" s="99"/>
      <c r="Q275" s="98"/>
      <c r="R275" s="175">
        <f>R274</f>
        <v>0</v>
      </c>
      <c r="S275" s="99">
        <f>S274</f>
        <v>0</v>
      </c>
      <c r="T275" s="109" t="s">
        <v>250</v>
      </c>
      <c r="U275" s="109" t="s">
        <v>286</v>
      </c>
      <c r="V275" s="99"/>
      <c r="W275" s="99" t="str">
        <f t="shared" ref="W275:W277" si="512">$B$43</f>
        <v>L3 Construction</v>
      </c>
      <c r="X275" s="147"/>
      <c r="Y275" s="130">
        <f>Y274</f>
        <v>0</v>
      </c>
      <c r="Z275" s="100">
        <f>Z274</f>
        <v>0</v>
      </c>
      <c r="AA275" s="100" t="s">
        <v>251</v>
      </c>
      <c r="AB275" s="100"/>
      <c r="AC275" s="100"/>
      <c r="AD275" s="148"/>
    </row>
    <row r="276" spans="1:30" ht="15.75">
      <c r="A276" s="265"/>
      <c r="B276" s="269"/>
      <c r="C276" s="98"/>
      <c r="D276" s="130">
        <f t="shared" ref="D276:E277" si="513">D275</f>
        <v>0</v>
      </c>
      <c r="E276" s="99">
        <f t="shared" si="513"/>
        <v>0</v>
      </c>
      <c r="F276" s="106"/>
      <c r="G276" s="106"/>
      <c r="H276" s="99"/>
      <c r="I276" s="99" t="str">
        <f t="shared" si="511"/>
        <v>L3 Construction</v>
      </c>
      <c r="J276" s="98"/>
      <c r="K276" s="175">
        <f t="shared" ref="K276:L277" si="514">K275</f>
        <v>0</v>
      </c>
      <c r="L276" s="99">
        <f t="shared" si="514"/>
        <v>0</v>
      </c>
      <c r="M276" s="106"/>
      <c r="N276" s="106"/>
      <c r="O276" s="99"/>
      <c r="P276" s="99"/>
      <c r="Q276" s="98"/>
      <c r="R276" s="175">
        <f t="shared" ref="R276:S277" si="515">R275</f>
        <v>0</v>
      </c>
      <c r="S276" s="99">
        <f t="shared" si="515"/>
        <v>0</v>
      </c>
      <c r="T276" s="109" t="s">
        <v>251</v>
      </c>
      <c r="U276" s="109" t="s">
        <v>286</v>
      </c>
      <c r="V276" s="99"/>
      <c r="W276" s="99" t="str">
        <f t="shared" si="512"/>
        <v>L3 Construction</v>
      </c>
      <c r="X276" s="147"/>
      <c r="Y276" s="130">
        <f t="shared" ref="Y276:Z277" si="516">Y275</f>
        <v>0</v>
      </c>
      <c r="Z276" s="100">
        <f t="shared" si="516"/>
        <v>0</v>
      </c>
      <c r="AA276" s="100"/>
      <c r="AB276" s="100"/>
      <c r="AC276" s="100"/>
      <c r="AD276" s="148"/>
    </row>
    <row r="277" spans="1:30" ht="15.75">
      <c r="A277" s="265"/>
      <c r="B277" s="269"/>
      <c r="C277" s="98"/>
      <c r="D277" s="130">
        <f t="shared" si="513"/>
        <v>0</v>
      </c>
      <c r="E277" s="99">
        <f t="shared" si="513"/>
        <v>0</v>
      </c>
      <c r="F277" s="109"/>
      <c r="G277" s="109"/>
      <c r="H277" s="99"/>
      <c r="I277" s="99" t="str">
        <f t="shared" si="511"/>
        <v>L3 Construction</v>
      </c>
      <c r="J277" s="98"/>
      <c r="K277" s="175">
        <f t="shared" si="514"/>
        <v>0</v>
      </c>
      <c r="L277" s="99">
        <f t="shared" si="514"/>
        <v>0</v>
      </c>
      <c r="M277" s="109"/>
      <c r="N277" s="109"/>
      <c r="O277" s="99"/>
      <c r="P277" s="99"/>
      <c r="Q277" s="98"/>
      <c r="R277" s="175">
        <f t="shared" si="515"/>
        <v>0</v>
      </c>
      <c r="S277" s="99">
        <f t="shared" si="515"/>
        <v>0</v>
      </c>
      <c r="T277" s="109"/>
      <c r="U277" s="109" t="s">
        <v>286</v>
      </c>
      <c r="V277" s="99"/>
      <c r="W277" s="99" t="str">
        <f t="shared" si="512"/>
        <v>L3 Construction</v>
      </c>
      <c r="X277" s="147"/>
      <c r="Y277" s="130">
        <f t="shared" si="516"/>
        <v>0</v>
      </c>
      <c r="Z277" s="100">
        <f t="shared" si="516"/>
        <v>0</v>
      </c>
      <c r="AA277" s="100"/>
      <c r="AB277" s="100"/>
      <c r="AC277" s="100"/>
      <c r="AD277" s="148"/>
    </row>
    <row r="278" spans="1:30" ht="15.75">
      <c r="A278" s="265"/>
      <c r="B278" s="270" t="s">
        <v>243</v>
      </c>
      <c r="C278" s="101"/>
      <c r="D278" s="131"/>
      <c r="E278" s="102"/>
      <c r="F278" s="109" t="s">
        <v>250</v>
      </c>
      <c r="G278" s="109" t="s">
        <v>285</v>
      </c>
      <c r="H278" s="102"/>
      <c r="I278" s="102" t="str">
        <f>$B$47</f>
        <v>L3 Energétique</v>
      </c>
      <c r="J278" s="101"/>
      <c r="K278" s="176"/>
      <c r="L278" s="102"/>
      <c r="M278" s="109" t="s">
        <v>250</v>
      </c>
      <c r="N278" s="109" t="s">
        <v>285</v>
      </c>
      <c r="O278" s="102"/>
      <c r="P278" s="102"/>
      <c r="Q278" s="101"/>
      <c r="R278" s="176"/>
      <c r="S278" s="102"/>
      <c r="T278" s="109"/>
      <c r="U278" s="109"/>
      <c r="V278" s="102"/>
      <c r="W278" s="102" t="str">
        <f>$B$47</f>
        <v>L3 Energétique</v>
      </c>
      <c r="X278" s="149"/>
      <c r="Y278" s="131"/>
      <c r="Z278" s="103"/>
      <c r="AA278" s="103" t="s">
        <v>250</v>
      </c>
      <c r="AB278" s="103"/>
      <c r="AC278" s="103"/>
      <c r="AD278" s="150"/>
    </row>
    <row r="279" spans="1:30" ht="15.75">
      <c r="A279" s="265"/>
      <c r="B279" s="270"/>
      <c r="C279" s="101"/>
      <c r="D279" s="131">
        <f>D278</f>
        <v>0</v>
      </c>
      <c r="E279" s="102">
        <f>E278</f>
        <v>0</v>
      </c>
      <c r="F279" s="109"/>
      <c r="G279" s="109"/>
      <c r="H279" s="102"/>
      <c r="I279" s="102" t="str">
        <f t="shared" ref="I279:I281" si="517">$B$47</f>
        <v>L3 Energétique</v>
      </c>
      <c r="J279" s="101"/>
      <c r="K279" s="176">
        <f>K278</f>
        <v>0</v>
      </c>
      <c r="L279" s="102">
        <f>L278</f>
        <v>0</v>
      </c>
      <c r="M279" s="109"/>
      <c r="N279" s="109"/>
      <c r="O279" s="102"/>
      <c r="P279" s="102"/>
      <c r="Q279" s="101"/>
      <c r="R279" s="176">
        <f>R278</f>
        <v>0</v>
      </c>
      <c r="S279" s="102">
        <f>S278</f>
        <v>0</v>
      </c>
      <c r="T279" s="112" t="s">
        <v>250</v>
      </c>
      <c r="U279" s="112" t="s">
        <v>289</v>
      </c>
      <c r="V279" s="102"/>
      <c r="W279" s="102" t="str">
        <f t="shared" ref="W279:W281" si="518">$B$47</f>
        <v>L3 Energétique</v>
      </c>
      <c r="X279" s="149"/>
      <c r="Y279" s="131">
        <f>Y278</f>
        <v>0</v>
      </c>
      <c r="Z279" s="103">
        <f>Z278</f>
        <v>0</v>
      </c>
      <c r="AA279" s="103" t="s">
        <v>251</v>
      </c>
      <c r="AB279" s="103"/>
      <c r="AC279" s="103"/>
      <c r="AD279" s="150"/>
    </row>
    <row r="280" spans="1:30" ht="15.75">
      <c r="A280" s="265"/>
      <c r="B280" s="270"/>
      <c r="C280" s="101"/>
      <c r="D280" s="131">
        <f t="shared" ref="D280:E281" si="519">D279</f>
        <v>0</v>
      </c>
      <c r="E280" s="102">
        <f t="shared" si="519"/>
        <v>0</v>
      </c>
      <c r="F280" s="109"/>
      <c r="G280" s="109"/>
      <c r="H280" s="102"/>
      <c r="I280" s="102" t="str">
        <f t="shared" si="517"/>
        <v>L3 Energétique</v>
      </c>
      <c r="J280" s="101"/>
      <c r="K280" s="176">
        <f t="shared" ref="K280:L281" si="520">K279</f>
        <v>0</v>
      </c>
      <c r="L280" s="102">
        <f t="shared" si="520"/>
        <v>0</v>
      </c>
      <c r="M280" s="109"/>
      <c r="N280" s="109"/>
      <c r="O280" s="102"/>
      <c r="P280" s="102"/>
      <c r="Q280" s="101"/>
      <c r="R280" s="176">
        <f t="shared" ref="R280:S281" si="521">R279</f>
        <v>0</v>
      </c>
      <c r="S280" s="102">
        <f t="shared" si="521"/>
        <v>0</v>
      </c>
      <c r="T280" s="112" t="s">
        <v>251</v>
      </c>
      <c r="U280" s="112" t="s">
        <v>290</v>
      </c>
      <c r="V280" s="102"/>
      <c r="W280" s="102" t="str">
        <f t="shared" si="518"/>
        <v>L3 Energétique</v>
      </c>
      <c r="X280" s="149"/>
      <c r="Y280" s="131">
        <f t="shared" ref="Y280:Z281" si="522">Y279</f>
        <v>0</v>
      </c>
      <c r="Z280" s="103">
        <f t="shared" si="522"/>
        <v>0</v>
      </c>
      <c r="AA280" s="103"/>
      <c r="AB280" s="103"/>
      <c r="AC280" s="103"/>
      <c r="AD280" s="150"/>
    </row>
    <row r="281" spans="1:30" ht="15.75">
      <c r="A281" s="265"/>
      <c r="B281" s="270"/>
      <c r="C281" s="101"/>
      <c r="D281" s="131">
        <f t="shared" si="519"/>
        <v>0</v>
      </c>
      <c r="E281" s="102">
        <f t="shared" si="519"/>
        <v>0</v>
      </c>
      <c r="F281" s="112"/>
      <c r="G281" s="112"/>
      <c r="H281" s="102"/>
      <c r="I281" s="102" t="str">
        <f t="shared" si="517"/>
        <v>L3 Energétique</v>
      </c>
      <c r="J281" s="101"/>
      <c r="K281" s="176">
        <f t="shared" si="520"/>
        <v>0</v>
      </c>
      <c r="L281" s="102">
        <f t="shared" si="520"/>
        <v>0</v>
      </c>
      <c r="M281" s="112"/>
      <c r="N281" s="112"/>
      <c r="O281" s="102"/>
      <c r="P281" s="102"/>
      <c r="Q281" s="101"/>
      <c r="R281" s="176">
        <f t="shared" si="521"/>
        <v>0</v>
      </c>
      <c r="S281" s="102">
        <f t="shared" si="521"/>
        <v>0</v>
      </c>
      <c r="T281" s="112"/>
      <c r="U281" s="112"/>
      <c r="V281" s="102"/>
      <c r="W281" s="102" t="str">
        <f t="shared" si="518"/>
        <v>L3 Energétique</v>
      </c>
      <c r="X281" s="149"/>
      <c r="Y281" s="131">
        <f t="shared" si="522"/>
        <v>0</v>
      </c>
      <c r="Z281" s="103">
        <f t="shared" si="522"/>
        <v>0</v>
      </c>
      <c r="AA281" s="103"/>
      <c r="AB281" s="103"/>
      <c r="AC281" s="103"/>
      <c r="AD281" s="150"/>
    </row>
    <row r="282" spans="1:30" ht="15.75">
      <c r="A282" s="265"/>
      <c r="B282" s="80" t="s">
        <v>244</v>
      </c>
      <c r="C282" s="104"/>
      <c r="D282" s="132">
        <f>'Maset I'!C77</f>
        <v>0</v>
      </c>
      <c r="E282" s="123"/>
      <c r="F282" s="112"/>
      <c r="G282" s="112" t="s">
        <v>293</v>
      </c>
      <c r="H282" s="105"/>
      <c r="I282" s="105" t="str">
        <f>$B$51</f>
        <v>M1 Métallurgie</v>
      </c>
      <c r="J282" s="104"/>
      <c r="K282" s="177"/>
      <c r="L282" s="123"/>
      <c r="M282" s="112"/>
      <c r="N282" s="112" t="s">
        <v>293</v>
      </c>
      <c r="O282" s="105"/>
      <c r="P282" s="105"/>
      <c r="Q282" s="104"/>
      <c r="R282" s="177"/>
      <c r="S282" s="123"/>
      <c r="T282" s="112"/>
      <c r="U282" s="112"/>
      <c r="V282" s="105"/>
      <c r="W282" s="105" t="str">
        <f>$B$51</f>
        <v>M1 Métallurgie</v>
      </c>
      <c r="X282" s="151"/>
      <c r="Y282" s="132"/>
      <c r="Z282" s="152"/>
      <c r="AA282" s="106"/>
      <c r="AB282" s="106"/>
      <c r="AC282" s="106"/>
      <c r="AD282" s="153"/>
    </row>
    <row r="283" spans="1:30" ht="15.75">
      <c r="A283" s="265"/>
      <c r="B283" s="271" t="s">
        <v>245</v>
      </c>
      <c r="C283" s="107"/>
      <c r="D283" s="133">
        <f>'Maset I'!C78</f>
        <v>0</v>
      </c>
      <c r="E283" s="126"/>
      <c r="F283" s="112"/>
      <c r="G283" s="112" t="s">
        <v>286</v>
      </c>
      <c r="H283" s="108"/>
      <c r="I283" s="108" t="str">
        <f>$B$52</f>
        <v>M1 Construction</v>
      </c>
      <c r="J283" s="107"/>
      <c r="K283" s="178"/>
      <c r="L283" s="126"/>
      <c r="M283" s="112"/>
      <c r="N283" s="112" t="s">
        <v>286</v>
      </c>
      <c r="O283" s="108"/>
      <c r="P283" s="108"/>
      <c r="Q283" s="107"/>
      <c r="R283" s="178"/>
      <c r="S283" s="126"/>
      <c r="T283" s="115"/>
      <c r="U283" s="115"/>
      <c r="V283" s="108"/>
      <c r="W283" s="108" t="str">
        <f>$B$52</f>
        <v>M1 Construction</v>
      </c>
      <c r="X283" s="154"/>
      <c r="Y283" s="133"/>
      <c r="Z283" s="155"/>
      <c r="AA283" s="109" t="s">
        <v>250</v>
      </c>
      <c r="AB283" s="109"/>
      <c r="AC283" s="109"/>
      <c r="AD283" s="156"/>
    </row>
    <row r="284" spans="1:30" ht="15.75">
      <c r="A284" s="265"/>
      <c r="B284" s="271"/>
      <c r="C284" s="107"/>
      <c r="D284" s="133">
        <f>D283</f>
        <v>0</v>
      </c>
      <c r="E284" s="108">
        <f>E283</f>
        <v>0</v>
      </c>
      <c r="F284" s="112"/>
      <c r="G284" s="112"/>
      <c r="H284" s="108"/>
      <c r="I284" s="108" t="str">
        <f t="shared" ref="I284:I286" si="523">$B$52</f>
        <v>M1 Construction</v>
      </c>
      <c r="J284" s="107"/>
      <c r="K284" s="178">
        <f>K283</f>
        <v>0</v>
      </c>
      <c r="L284" s="108">
        <f>L283</f>
        <v>0</v>
      </c>
      <c r="M284" s="112"/>
      <c r="N284" s="112"/>
      <c r="O284" s="108"/>
      <c r="P284" s="108"/>
      <c r="Q284" s="107"/>
      <c r="R284" s="178">
        <f>R283</f>
        <v>0</v>
      </c>
      <c r="S284" s="108">
        <f>S283</f>
        <v>0</v>
      </c>
      <c r="T284" s="117" t="s">
        <v>250</v>
      </c>
      <c r="U284" s="117"/>
      <c r="V284" s="108"/>
      <c r="W284" s="108" t="str">
        <f t="shared" ref="W284:W286" si="524">$B$52</f>
        <v>M1 Construction</v>
      </c>
      <c r="X284" s="154"/>
      <c r="Y284" s="133">
        <f>Y283</f>
        <v>0</v>
      </c>
      <c r="Z284" s="109">
        <f>Z283</f>
        <v>0</v>
      </c>
      <c r="AA284" s="109" t="s">
        <v>251</v>
      </c>
      <c r="AB284" s="109"/>
      <c r="AC284" s="109"/>
      <c r="AD284" s="156"/>
    </row>
    <row r="285" spans="1:30" ht="15.75">
      <c r="A285" s="265"/>
      <c r="B285" s="271"/>
      <c r="C285" s="107"/>
      <c r="D285" s="133">
        <f t="shared" ref="D285:E286" si="525">D284</f>
        <v>0</v>
      </c>
      <c r="E285" s="108">
        <f t="shared" si="525"/>
        <v>0</v>
      </c>
      <c r="F285" s="115"/>
      <c r="G285" s="115"/>
      <c r="H285" s="108"/>
      <c r="I285" s="108" t="str">
        <f t="shared" si="523"/>
        <v>M1 Construction</v>
      </c>
      <c r="J285" s="107"/>
      <c r="K285" s="178">
        <f t="shared" ref="K285:L286" si="526">K284</f>
        <v>0</v>
      </c>
      <c r="L285" s="108">
        <f t="shared" si="526"/>
        <v>0</v>
      </c>
      <c r="M285" s="115"/>
      <c r="N285" s="115"/>
      <c r="O285" s="108"/>
      <c r="P285" s="108"/>
      <c r="Q285" s="107"/>
      <c r="R285" s="178">
        <f t="shared" ref="R285:S286" si="527">R284</f>
        <v>0</v>
      </c>
      <c r="S285" s="108">
        <f t="shared" si="527"/>
        <v>0</v>
      </c>
      <c r="T285" s="117" t="s">
        <v>251</v>
      </c>
      <c r="U285" s="117"/>
      <c r="V285" s="108"/>
      <c r="W285" s="108" t="str">
        <f t="shared" si="524"/>
        <v>M1 Construction</v>
      </c>
      <c r="X285" s="154"/>
      <c r="Y285" s="133">
        <f t="shared" ref="Y285:Z286" si="528">Y284</f>
        <v>0</v>
      </c>
      <c r="Z285" s="109">
        <f t="shared" si="528"/>
        <v>0</v>
      </c>
      <c r="AA285" s="109"/>
      <c r="AB285" s="109"/>
      <c r="AC285" s="109"/>
      <c r="AD285" s="156"/>
    </row>
    <row r="286" spans="1:30" ht="15.75">
      <c r="A286" s="265"/>
      <c r="B286" s="271"/>
      <c r="C286" s="107"/>
      <c r="D286" s="133">
        <f t="shared" si="525"/>
        <v>0</v>
      </c>
      <c r="E286" s="108">
        <f t="shared" si="525"/>
        <v>0</v>
      </c>
      <c r="F286" s="117"/>
      <c r="G286" s="117"/>
      <c r="H286" s="108"/>
      <c r="I286" s="108" t="str">
        <f t="shared" si="523"/>
        <v>M1 Construction</v>
      </c>
      <c r="J286" s="107"/>
      <c r="K286" s="178">
        <f t="shared" si="526"/>
        <v>0</v>
      </c>
      <c r="L286" s="108">
        <f t="shared" si="526"/>
        <v>0</v>
      </c>
      <c r="M286" s="117"/>
      <c r="N286" s="117"/>
      <c r="O286" s="108"/>
      <c r="P286" s="108"/>
      <c r="Q286" s="107"/>
      <c r="R286" s="178">
        <f t="shared" si="527"/>
        <v>0</v>
      </c>
      <c r="S286" s="108">
        <f t="shared" si="527"/>
        <v>0</v>
      </c>
      <c r="T286" s="116"/>
      <c r="U286" s="117"/>
      <c r="V286" s="108"/>
      <c r="W286" s="108" t="str">
        <f t="shared" si="524"/>
        <v>M1 Construction</v>
      </c>
      <c r="X286" s="154"/>
      <c r="Y286" s="133">
        <f t="shared" si="528"/>
        <v>0</v>
      </c>
      <c r="Z286" s="109">
        <f t="shared" si="528"/>
        <v>0</v>
      </c>
      <c r="AA286" s="109"/>
      <c r="AB286" s="109"/>
      <c r="AC286" s="109"/>
      <c r="AD286" s="156"/>
    </row>
    <row r="287" spans="1:30" ht="15.75">
      <c r="A287" s="265"/>
      <c r="B287" s="272" t="s">
        <v>246</v>
      </c>
      <c r="C287" s="110" t="s">
        <v>87</v>
      </c>
      <c r="D287" s="134">
        <f>'Maset I'!C80</f>
        <v>0</v>
      </c>
      <c r="E287" s="124" t="s">
        <v>69</v>
      </c>
      <c r="F287" s="117" t="s">
        <v>250</v>
      </c>
      <c r="G287" s="117" t="s">
        <v>289</v>
      </c>
      <c r="H287" s="111"/>
      <c r="I287" s="111" t="str">
        <f>$B$56</f>
        <v>M1 Energétique</v>
      </c>
      <c r="J287" s="110"/>
      <c r="K287" s="179"/>
      <c r="L287" s="124"/>
      <c r="M287" s="117" t="s">
        <v>250</v>
      </c>
      <c r="N287" s="117" t="s">
        <v>289</v>
      </c>
      <c r="O287" s="111"/>
      <c r="P287" s="111"/>
      <c r="Q287" s="110"/>
      <c r="R287" s="179"/>
      <c r="S287" s="124"/>
      <c r="T287" s="116"/>
      <c r="U287" s="117"/>
      <c r="V287" s="111"/>
      <c r="W287" s="111" t="str">
        <f>$B$56</f>
        <v>M1 Energétique</v>
      </c>
      <c r="X287" s="157"/>
      <c r="Y287" s="134"/>
      <c r="Z287" s="158"/>
      <c r="AA287" s="112" t="s">
        <v>250</v>
      </c>
      <c r="AB287" s="112"/>
      <c r="AC287" s="112"/>
      <c r="AD287" s="159"/>
    </row>
    <row r="288" spans="1:30" ht="15.75">
      <c r="A288" s="265"/>
      <c r="B288" s="272"/>
      <c r="C288" s="110" t="s">
        <v>55</v>
      </c>
      <c r="D288" s="134">
        <f>D287</f>
        <v>0</v>
      </c>
      <c r="E288" s="111" t="str">
        <f>E287</f>
        <v>A.Aliouali</v>
      </c>
      <c r="F288" s="116" t="s">
        <v>292</v>
      </c>
      <c r="G288" s="117" t="s">
        <v>290</v>
      </c>
      <c r="H288" s="111"/>
      <c r="I288" s="111" t="str">
        <f t="shared" ref="I288:I290" si="529">$B$56</f>
        <v>M1 Energétique</v>
      </c>
      <c r="J288" s="110"/>
      <c r="K288" s="179">
        <f>K287</f>
        <v>0</v>
      </c>
      <c r="L288" s="111">
        <f>L287</f>
        <v>0</v>
      </c>
      <c r="M288" s="116" t="s">
        <v>292</v>
      </c>
      <c r="N288" s="117" t="s">
        <v>290</v>
      </c>
      <c r="O288" s="111"/>
      <c r="P288" s="111"/>
      <c r="Q288" s="110"/>
      <c r="R288" s="179">
        <f>R287</f>
        <v>0</v>
      </c>
      <c r="S288" s="111">
        <f>S287</f>
        <v>0</v>
      </c>
      <c r="T288" s="119" t="s">
        <v>250</v>
      </c>
      <c r="U288" s="166"/>
      <c r="V288" s="111"/>
      <c r="W288" s="111" t="str">
        <f t="shared" ref="W288:W290" si="530">$B$56</f>
        <v>M1 Energétique</v>
      </c>
      <c r="X288" s="157"/>
      <c r="Y288" s="134">
        <f>Y287</f>
        <v>0</v>
      </c>
      <c r="Z288" s="112">
        <f>Z287</f>
        <v>0</v>
      </c>
      <c r="AA288" s="112" t="s">
        <v>251</v>
      </c>
      <c r="AB288" s="112"/>
      <c r="AC288" s="112"/>
      <c r="AD288" s="159"/>
    </row>
    <row r="289" spans="1:30" ht="15.75">
      <c r="A289" s="265"/>
      <c r="B289" s="272"/>
      <c r="C289" s="110" t="s">
        <v>110</v>
      </c>
      <c r="D289" s="134">
        <f t="shared" ref="D289:E290" si="531">D288</f>
        <v>0</v>
      </c>
      <c r="E289" s="111" t="str">
        <f t="shared" si="531"/>
        <v>A.Aliouali</v>
      </c>
      <c r="F289" s="116"/>
      <c r="G289" s="117"/>
      <c r="H289" s="111"/>
      <c r="I289" s="111" t="str">
        <f t="shared" si="529"/>
        <v>M1 Energétique</v>
      </c>
      <c r="J289" s="110"/>
      <c r="K289" s="179">
        <f t="shared" ref="K289:L290" si="532">K288</f>
        <v>0</v>
      </c>
      <c r="L289" s="111">
        <f t="shared" si="532"/>
        <v>0</v>
      </c>
      <c r="M289" s="116"/>
      <c r="N289" s="117"/>
      <c r="O289" s="111"/>
      <c r="P289" s="111"/>
      <c r="Q289" s="110"/>
      <c r="R289" s="179">
        <f t="shared" ref="R289:S290" si="533">R288</f>
        <v>0</v>
      </c>
      <c r="S289" s="111">
        <f t="shared" si="533"/>
        <v>0</v>
      </c>
      <c r="T289" s="119" t="s">
        <v>251</v>
      </c>
      <c r="U289" s="166"/>
      <c r="V289" s="111"/>
      <c r="W289" s="111" t="str">
        <f t="shared" si="530"/>
        <v>M1 Energétique</v>
      </c>
      <c r="X289" s="157"/>
      <c r="Y289" s="134">
        <f t="shared" ref="Y289:Z290" si="534">Y288</f>
        <v>0</v>
      </c>
      <c r="Z289" s="112">
        <f t="shared" si="534"/>
        <v>0</v>
      </c>
      <c r="AA289" s="112"/>
      <c r="AB289" s="112"/>
      <c r="AC289" s="112"/>
      <c r="AD289" s="159"/>
    </row>
    <row r="290" spans="1:30" ht="15.75">
      <c r="A290" s="265"/>
      <c r="B290" s="272"/>
      <c r="C290" s="110" t="s">
        <v>69</v>
      </c>
      <c r="D290" s="134">
        <f t="shared" si="531"/>
        <v>0</v>
      </c>
      <c r="E290" s="111" t="str">
        <f t="shared" si="531"/>
        <v>A.Aliouali</v>
      </c>
      <c r="F290" s="119"/>
      <c r="G290" s="166"/>
      <c r="H290" s="111"/>
      <c r="I290" s="111" t="str">
        <f t="shared" si="529"/>
        <v>M1 Energétique</v>
      </c>
      <c r="J290" s="110"/>
      <c r="K290" s="179">
        <f t="shared" si="532"/>
        <v>0</v>
      </c>
      <c r="L290" s="111">
        <f t="shared" si="532"/>
        <v>0</v>
      </c>
      <c r="M290" s="119"/>
      <c r="N290" s="166"/>
      <c r="O290" s="111"/>
      <c r="P290" s="111"/>
      <c r="Q290" s="110"/>
      <c r="R290" s="179">
        <f t="shared" si="533"/>
        <v>0</v>
      </c>
      <c r="S290" s="111">
        <f t="shared" si="533"/>
        <v>0</v>
      </c>
      <c r="T290" s="119"/>
      <c r="U290" s="166"/>
      <c r="V290" s="111"/>
      <c r="W290" s="111" t="str">
        <f t="shared" si="530"/>
        <v>M1 Energétique</v>
      </c>
      <c r="X290" s="157"/>
      <c r="Y290" s="134">
        <f t="shared" si="534"/>
        <v>0</v>
      </c>
      <c r="Z290" s="112">
        <f t="shared" si="534"/>
        <v>0</v>
      </c>
      <c r="AA290" s="112"/>
      <c r="AB290" s="112"/>
      <c r="AC290" s="112"/>
      <c r="AD290" s="159"/>
    </row>
    <row r="291" spans="1:30" ht="16.5" thickBot="1">
      <c r="A291" s="265"/>
      <c r="B291" s="81" t="s">
        <v>247</v>
      </c>
      <c r="C291" s="113"/>
      <c r="D291" s="135"/>
      <c r="E291" s="122"/>
      <c r="F291" s="119"/>
      <c r="G291" s="166"/>
      <c r="H291" s="114"/>
      <c r="I291" s="114"/>
      <c r="J291" s="113"/>
      <c r="K291" s="180"/>
      <c r="L291" s="122"/>
      <c r="M291" s="119"/>
      <c r="N291" s="166"/>
      <c r="O291" s="114"/>
      <c r="P291" s="114"/>
      <c r="Q291" s="113"/>
      <c r="R291" s="180"/>
      <c r="S291" s="122"/>
      <c r="T291" s="121"/>
      <c r="U291" s="169"/>
      <c r="V291" s="114"/>
      <c r="W291" s="114"/>
      <c r="X291" s="160"/>
      <c r="Y291" s="135"/>
      <c r="Z291" s="161"/>
      <c r="AA291" s="115"/>
      <c r="AB291" s="115"/>
      <c r="AC291" s="115"/>
      <c r="AD291" s="162"/>
    </row>
    <row r="292" spans="1:30" ht="15.75">
      <c r="A292" s="265"/>
      <c r="B292" s="268" t="s">
        <v>248</v>
      </c>
      <c r="C292" s="93"/>
      <c r="D292" s="136"/>
      <c r="E292" s="92"/>
      <c r="F292" s="119"/>
      <c r="G292" s="166"/>
      <c r="H292" s="116"/>
      <c r="I292" s="116"/>
      <c r="J292" s="93"/>
      <c r="K292" s="181"/>
      <c r="L292" s="92"/>
      <c r="M292" s="119"/>
      <c r="N292" s="166"/>
      <c r="O292" s="116"/>
      <c r="P292" s="116"/>
      <c r="Q292" s="93"/>
      <c r="R292" s="181"/>
      <c r="S292" s="92"/>
      <c r="T292" s="117" t="s">
        <v>250</v>
      </c>
      <c r="U292" s="117"/>
      <c r="V292" s="116"/>
      <c r="W292" s="116"/>
      <c r="X292" s="143"/>
      <c r="Y292" s="136"/>
      <c r="Z292" s="87"/>
      <c r="AA292" s="117" t="s">
        <v>250</v>
      </c>
      <c r="AB292" s="117"/>
      <c r="AC292" s="117"/>
      <c r="AD292" s="163"/>
    </row>
    <row r="293" spans="1:30" ht="16.5" thickBot="1">
      <c r="A293" s="265"/>
      <c r="B293" s="268"/>
      <c r="C293" s="93"/>
      <c r="D293" s="136">
        <f>D292</f>
        <v>0</v>
      </c>
      <c r="E293" s="116">
        <f>E292</f>
        <v>0</v>
      </c>
      <c r="F293" s="121"/>
      <c r="G293" s="169"/>
      <c r="H293" s="116"/>
      <c r="I293" s="116"/>
      <c r="J293" s="93"/>
      <c r="K293" s="181">
        <f>K292</f>
        <v>0</v>
      </c>
      <c r="L293" s="116">
        <f>L292</f>
        <v>0</v>
      </c>
      <c r="M293" s="121"/>
      <c r="N293" s="169"/>
      <c r="O293" s="116"/>
      <c r="P293" s="116"/>
      <c r="Q293" s="93"/>
      <c r="R293" s="181">
        <f>R292</f>
        <v>0</v>
      </c>
      <c r="S293" s="116">
        <f>S292</f>
        <v>0</v>
      </c>
      <c r="T293" s="117" t="s">
        <v>251</v>
      </c>
      <c r="U293" s="117"/>
      <c r="V293" s="116"/>
      <c r="W293" s="116"/>
      <c r="X293" s="143"/>
      <c r="Y293" s="136">
        <f>Y292</f>
        <v>0</v>
      </c>
      <c r="Z293" s="117">
        <f>Z292</f>
        <v>0</v>
      </c>
      <c r="AA293" s="117" t="s">
        <v>251</v>
      </c>
      <c r="AB293" s="117"/>
      <c r="AC293" s="117"/>
      <c r="AD293" s="163"/>
    </row>
    <row r="294" spans="1:30" ht="15.75">
      <c r="A294" s="265"/>
      <c r="B294" s="268"/>
      <c r="C294" s="93"/>
      <c r="D294" s="136">
        <f t="shared" ref="D294:E295" si="535">D293</f>
        <v>0</v>
      </c>
      <c r="E294" s="116">
        <f t="shared" si="535"/>
        <v>0</v>
      </c>
      <c r="F294" s="90"/>
      <c r="G294" s="89"/>
      <c r="H294" s="116"/>
      <c r="I294" s="116"/>
      <c r="J294" s="93"/>
      <c r="K294" s="181">
        <f t="shared" ref="K294:L295" si="536">K293</f>
        <v>0</v>
      </c>
      <c r="L294" s="116">
        <f t="shared" si="536"/>
        <v>0</v>
      </c>
      <c r="M294" s="90"/>
      <c r="N294" s="89"/>
      <c r="O294" s="116"/>
      <c r="P294" s="116"/>
      <c r="Q294" s="93"/>
      <c r="R294" s="181">
        <f t="shared" ref="R294:S295" si="537">R293</f>
        <v>0</v>
      </c>
      <c r="S294" s="116">
        <f t="shared" si="537"/>
        <v>0</v>
      </c>
      <c r="T294" s="116"/>
      <c r="U294" s="117"/>
      <c r="V294" s="116"/>
      <c r="W294" s="116"/>
      <c r="X294" s="143"/>
      <c r="Y294" s="136">
        <f t="shared" ref="Y294:Z295" si="538">Y293</f>
        <v>0</v>
      </c>
      <c r="Z294" s="117">
        <f t="shared" si="538"/>
        <v>0</v>
      </c>
      <c r="AA294" s="117"/>
      <c r="AB294" s="117"/>
      <c r="AC294" s="117"/>
      <c r="AD294" s="163"/>
    </row>
    <row r="295" spans="1:30" ht="15.75">
      <c r="A295" s="265"/>
      <c r="B295" s="268"/>
      <c r="C295" s="93"/>
      <c r="D295" s="136">
        <f t="shared" si="535"/>
        <v>0</v>
      </c>
      <c r="E295" s="116">
        <f t="shared" si="535"/>
        <v>0</v>
      </c>
      <c r="F295" s="87" t="s">
        <v>250</v>
      </c>
      <c r="G295" s="92"/>
      <c r="H295" s="116"/>
      <c r="I295" s="116"/>
      <c r="J295" s="93"/>
      <c r="K295" s="181">
        <f t="shared" si="536"/>
        <v>0</v>
      </c>
      <c r="L295" s="116">
        <f t="shared" si="536"/>
        <v>0</v>
      </c>
      <c r="M295" s="87" t="s">
        <v>250</v>
      </c>
      <c r="N295" s="92"/>
      <c r="O295" s="116"/>
      <c r="P295" s="116"/>
      <c r="Q295" s="93"/>
      <c r="R295" s="181">
        <f t="shared" si="537"/>
        <v>0</v>
      </c>
      <c r="S295" s="116">
        <f t="shared" si="537"/>
        <v>0</v>
      </c>
      <c r="T295" s="116"/>
      <c r="U295" s="117"/>
      <c r="V295" s="116"/>
      <c r="W295" s="116"/>
      <c r="X295" s="143"/>
      <c r="Y295" s="136">
        <f t="shared" si="538"/>
        <v>0</v>
      </c>
      <c r="Z295" s="117">
        <f t="shared" si="538"/>
        <v>0</v>
      </c>
      <c r="AA295" s="117"/>
      <c r="AB295" s="117"/>
      <c r="AC295" s="117"/>
      <c r="AD295" s="163"/>
    </row>
    <row r="296" spans="1:30" ht="15.75">
      <c r="A296" s="265"/>
      <c r="B296" s="273" t="s">
        <v>249</v>
      </c>
      <c r="C296" s="118"/>
      <c r="D296" s="137"/>
      <c r="E296" s="125"/>
      <c r="F296" s="87" t="s">
        <v>251</v>
      </c>
      <c r="G296" s="92"/>
      <c r="H296" s="119"/>
      <c r="I296" s="119"/>
      <c r="J296" s="118"/>
      <c r="K296" s="182"/>
      <c r="L296" s="125"/>
      <c r="M296" s="87" t="s">
        <v>251</v>
      </c>
      <c r="N296" s="92"/>
      <c r="O296" s="119"/>
      <c r="P296" s="119"/>
      <c r="Q296" s="118"/>
      <c r="R296" s="182"/>
      <c r="S296" s="125"/>
      <c r="T296" s="119" t="s">
        <v>250</v>
      </c>
      <c r="U296" s="166"/>
      <c r="V296" s="119"/>
      <c r="W296" s="119"/>
      <c r="X296" s="164"/>
      <c r="Y296" s="137"/>
      <c r="Z296" s="165"/>
      <c r="AA296" s="166" t="s">
        <v>250</v>
      </c>
      <c r="AB296" s="166"/>
      <c r="AC296" s="166"/>
      <c r="AD296" s="167"/>
    </row>
    <row r="297" spans="1:30" ht="15.75">
      <c r="A297" s="265"/>
      <c r="B297" s="273"/>
      <c r="C297" s="118"/>
      <c r="D297" s="137">
        <f>D296</f>
        <v>0</v>
      </c>
      <c r="E297" s="119">
        <f>E296</f>
        <v>0</v>
      </c>
      <c r="F297" s="87" t="s">
        <v>252</v>
      </c>
      <c r="G297" s="92"/>
      <c r="H297" s="119"/>
      <c r="I297" s="119"/>
      <c r="J297" s="118"/>
      <c r="K297" s="182">
        <f>K296</f>
        <v>0</v>
      </c>
      <c r="L297" s="119">
        <f>L296</f>
        <v>0</v>
      </c>
      <c r="M297" s="87" t="s">
        <v>252</v>
      </c>
      <c r="N297" s="92"/>
      <c r="O297" s="119"/>
      <c r="P297" s="119"/>
      <c r="Q297" s="118"/>
      <c r="R297" s="182">
        <f>R296</f>
        <v>0</v>
      </c>
      <c r="S297" s="119">
        <f>S296</f>
        <v>0</v>
      </c>
      <c r="T297" s="119" t="s">
        <v>251</v>
      </c>
      <c r="U297" s="166"/>
      <c r="V297" s="119"/>
      <c r="W297" s="119"/>
      <c r="X297" s="164"/>
      <c r="Y297" s="137">
        <f>Y296</f>
        <v>0</v>
      </c>
      <c r="Z297" s="166">
        <f>Z296</f>
        <v>0</v>
      </c>
      <c r="AA297" s="166" t="s">
        <v>251</v>
      </c>
      <c r="AB297" s="166"/>
      <c r="AC297" s="166"/>
      <c r="AD297" s="167"/>
    </row>
    <row r="298" spans="1:30" ht="15.75">
      <c r="A298" s="265"/>
      <c r="B298" s="273"/>
      <c r="C298" s="118"/>
      <c r="D298" s="137">
        <f t="shared" ref="D298:E299" si="539">D297</f>
        <v>0</v>
      </c>
      <c r="E298" s="119">
        <f t="shared" si="539"/>
        <v>0</v>
      </c>
      <c r="F298" s="87"/>
      <c r="G298" s="92"/>
      <c r="H298" s="119"/>
      <c r="I298" s="119"/>
      <c r="J298" s="118"/>
      <c r="K298" s="182">
        <f t="shared" ref="K298:L299" si="540">K297</f>
        <v>0</v>
      </c>
      <c r="L298" s="119">
        <f t="shared" si="540"/>
        <v>0</v>
      </c>
      <c r="M298" s="87"/>
      <c r="N298" s="92"/>
      <c r="O298" s="119"/>
      <c r="P298" s="119"/>
      <c r="Q298" s="118"/>
      <c r="R298" s="182">
        <f t="shared" ref="R298:S299" si="541">R297</f>
        <v>0</v>
      </c>
      <c r="S298" s="119">
        <f t="shared" si="541"/>
        <v>0</v>
      </c>
      <c r="T298" s="119"/>
      <c r="U298" s="166"/>
      <c r="V298" s="119"/>
      <c r="W298" s="119"/>
      <c r="X298" s="164"/>
      <c r="Y298" s="137">
        <f t="shared" ref="Y298:Z299" si="542">Y297</f>
        <v>0</v>
      </c>
      <c r="Z298" s="166">
        <f t="shared" si="542"/>
        <v>0</v>
      </c>
      <c r="AA298" s="166"/>
      <c r="AB298" s="166"/>
      <c r="AC298" s="166"/>
      <c r="AD298" s="167"/>
    </row>
    <row r="299" spans="1:30" ht="16.5" thickBot="1">
      <c r="A299" s="266"/>
      <c r="B299" s="274"/>
      <c r="C299" s="120"/>
      <c r="D299" s="138">
        <f t="shared" si="539"/>
        <v>0</v>
      </c>
      <c r="E299" s="121">
        <f t="shared" si="539"/>
        <v>0</v>
      </c>
      <c r="F299" s="87"/>
      <c r="G299" s="92"/>
      <c r="H299" s="121"/>
      <c r="I299" s="121"/>
      <c r="J299" s="120"/>
      <c r="K299" s="183">
        <f t="shared" si="540"/>
        <v>0</v>
      </c>
      <c r="L299" s="121">
        <f t="shared" si="540"/>
        <v>0</v>
      </c>
      <c r="M299" s="87"/>
      <c r="N299" s="92"/>
      <c r="O299" s="121"/>
      <c r="P299" s="121"/>
      <c r="Q299" s="120"/>
      <c r="R299" s="183">
        <f t="shared" si="541"/>
        <v>0</v>
      </c>
      <c r="S299" s="121">
        <f t="shared" si="541"/>
        <v>0</v>
      </c>
      <c r="T299" s="121"/>
      <c r="U299" s="169"/>
      <c r="V299" s="121"/>
      <c r="W299" s="121"/>
      <c r="X299" s="168"/>
      <c r="Y299" s="138">
        <f t="shared" si="542"/>
        <v>0</v>
      </c>
      <c r="Z299" s="169">
        <f t="shared" si="542"/>
        <v>0</v>
      </c>
      <c r="AA299" s="169"/>
      <c r="AB299" s="169"/>
      <c r="AC299" s="169"/>
      <c r="AD299" s="170"/>
    </row>
  </sheetData>
  <mergeCells count="77">
    <mergeCell ref="A267:A299"/>
    <mergeCell ref="B268:B272"/>
    <mergeCell ref="B274:B277"/>
    <mergeCell ref="B278:B281"/>
    <mergeCell ref="B283:B286"/>
    <mergeCell ref="B287:B290"/>
    <mergeCell ref="B292:B295"/>
    <mergeCell ref="B296:B299"/>
    <mergeCell ref="B254:B257"/>
    <mergeCell ref="B259:B262"/>
    <mergeCell ref="B263:B266"/>
    <mergeCell ref="B226:B229"/>
    <mergeCell ref="B230:B233"/>
    <mergeCell ref="B235:B239"/>
    <mergeCell ref="B241:B244"/>
    <mergeCell ref="B245:B248"/>
    <mergeCell ref="B208:B211"/>
    <mergeCell ref="B212:B215"/>
    <mergeCell ref="B217:B220"/>
    <mergeCell ref="B221:B224"/>
    <mergeCell ref="B250:B253"/>
    <mergeCell ref="B184:B187"/>
    <mergeCell ref="B188:B191"/>
    <mergeCell ref="B193:B196"/>
    <mergeCell ref="B197:B200"/>
    <mergeCell ref="B202:B206"/>
    <mergeCell ref="B160:B163"/>
    <mergeCell ref="B164:B167"/>
    <mergeCell ref="B169:B173"/>
    <mergeCell ref="B175:B178"/>
    <mergeCell ref="B179:B182"/>
    <mergeCell ref="B136:B140"/>
    <mergeCell ref="B142:B145"/>
    <mergeCell ref="B146:B149"/>
    <mergeCell ref="B151:B154"/>
    <mergeCell ref="B155:B158"/>
    <mergeCell ref="B113:B116"/>
    <mergeCell ref="B118:B121"/>
    <mergeCell ref="B122:B125"/>
    <mergeCell ref="B127:B130"/>
    <mergeCell ref="B131:B134"/>
    <mergeCell ref="A234:A266"/>
    <mergeCell ref="B37:B41"/>
    <mergeCell ref="B43:B46"/>
    <mergeCell ref="B52:B55"/>
    <mergeCell ref="B56:B59"/>
    <mergeCell ref="B61:B64"/>
    <mergeCell ref="B65:B68"/>
    <mergeCell ref="B70:B74"/>
    <mergeCell ref="B76:B79"/>
    <mergeCell ref="B80:B83"/>
    <mergeCell ref="B85:B88"/>
    <mergeCell ref="B89:B92"/>
    <mergeCell ref="B94:B97"/>
    <mergeCell ref="B98:B101"/>
    <mergeCell ref="B103:B107"/>
    <mergeCell ref="B109:B112"/>
    <mergeCell ref="A69:A101"/>
    <mergeCell ref="A102:A134"/>
    <mergeCell ref="A135:A167"/>
    <mergeCell ref="A168:A200"/>
    <mergeCell ref="A201:A233"/>
    <mergeCell ref="A3:A35"/>
    <mergeCell ref="B4:B8"/>
    <mergeCell ref="B10:B13"/>
    <mergeCell ref="B14:B17"/>
    <mergeCell ref="A36:A68"/>
    <mergeCell ref="B47:B50"/>
    <mergeCell ref="B19:B22"/>
    <mergeCell ref="B23:B26"/>
    <mergeCell ref="B28:B31"/>
    <mergeCell ref="B32:B35"/>
    <mergeCell ref="B1:B2"/>
    <mergeCell ref="X1:AD1"/>
    <mergeCell ref="J1:P1"/>
    <mergeCell ref="Q1:W1"/>
    <mergeCell ref="C1:I1"/>
  </mergeCells>
  <conditionalFormatting sqref="C3:C35">
    <cfRule type="duplicateValues" dxfId="139" priority="236"/>
  </conditionalFormatting>
  <conditionalFormatting sqref="J3:J35">
    <cfRule type="duplicateValues" dxfId="138" priority="235"/>
  </conditionalFormatting>
  <conditionalFormatting sqref="Q3:Q35">
    <cfRule type="duplicateValues" dxfId="137" priority="234"/>
  </conditionalFormatting>
  <conditionalFormatting sqref="X3:X35">
    <cfRule type="duplicateValues" dxfId="136" priority="233"/>
  </conditionalFormatting>
  <conditionalFormatting sqref="G3:G29">
    <cfRule type="duplicateValues" dxfId="135" priority="232"/>
  </conditionalFormatting>
  <conditionalFormatting sqref="N3:N35">
    <cfRule type="duplicateValues" dxfId="134" priority="231"/>
  </conditionalFormatting>
  <conditionalFormatting sqref="U3:U35">
    <cfRule type="duplicateValues" dxfId="133" priority="230"/>
  </conditionalFormatting>
  <conditionalFormatting sqref="AB3:AB35">
    <cfRule type="duplicateValues" dxfId="132" priority="229"/>
  </conditionalFormatting>
  <conditionalFormatting sqref="C36:C68">
    <cfRule type="duplicateValues" dxfId="131" priority="228"/>
  </conditionalFormatting>
  <conditionalFormatting sqref="J36:J68">
    <cfRule type="duplicateValues" dxfId="130" priority="227"/>
  </conditionalFormatting>
  <conditionalFormatting sqref="Q36:Q68">
    <cfRule type="duplicateValues" dxfId="129" priority="226"/>
  </conditionalFormatting>
  <conditionalFormatting sqref="X36:X68">
    <cfRule type="duplicateValues" dxfId="128" priority="225"/>
  </conditionalFormatting>
  <conditionalFormatting sqref="N36:N68">
    <cfRule type="duplicateValues" dxfId="127" priority="223"/>
  </conditionalFormatting>
  <conditionalFormatting sqref="U36:U68">
    <cfRule type="duplicateValues" dxfId="126" priority="222"/>
  </conditionalFormatting>
  <conditionalFormatting sqref="AB36:AB68">
    <cfRule type="duplicateValues" dxfId="125" priority="221"/>
  </conditionalFormatting>
  <conditionalFormatting sqref="C69:C101">
    <cfRule type="duplicateValues" dxfId="124" priority="220"/>
  </conditionalFormatting>
  <conditionalFormatting sqref="J69:J101">
    <cfRule type="duplicateValues" dxfId="123" priority="219"/>
  </conditionalFormatting>
  <conditionalFormatting sqref="Q69:Q101">
    <cfRule type="duplicateValues" dxfId="122" priority="218"/>
  </conditionalFormatting>
  <conditionalFormatting sqref="X69:X101">
    <cfRule type="duplicateValues" dxfId="121" priority="217"/>
  </conditionalFormatting>
  <conditionalFormatting sqref="G69:G101">
    <cfRule type="duplicateValues" dxfId="120" priority="216"/>
  </conditionalFormatting>
  <conditionalFormatting sqref="N69:N101">
    <cfRule type="duplicateValues" dxfId="119" priority="215"/>
  </conditionalFormatting>
  <conditionalFormatting sqref="U69:U101">
    <cfRule type="duplicateValues" dxfId="118" priority="214"/>
  </conditionalFormatting>
  <conditionalFormatting sqref="AB69:AB101">
    <cfRule type="duplicateValues" dxfId="117" priority="213"/>
  </conditionalFormatting>
  <conditionalFormatting sqref="C102:C134">
    <cfRule type="duplicateValues" dxfId="116" priority="212"/>
  </conditionalFormatting>
  <conditionalFormatting sqref="J102:J134">
    <cfRule type="duplicateValues" dxfId="115" priority="211"/>
  </conditionalFormatting>
  <conditionalFormatting sqref="Q102:Q134">
    <cfRule type="duplicateValues" dxfId="114" priority="210"/>
  </conditionalFormatting>
  <conditionalFormatting sqref="X102:X134">
    <cfRule type="duplicateValues" dxfId="113" priority="209"/>
  </conditionalFormatting>
  <conditionalFormatting sqref="G102:G134">
    <cfRule type="duplicateValues" dxfId="112" priority="208"/>
  </conditionalFormatting>
  <conditionalFormatting sqref="N102:N134">
    <cfRule type="duplicateValues" dxfId="111" priority="207"/>
  </conditionalFormatting>
  <conditionalFormatting sqref="U102:U134">
    <cfRule type="duplicateValues" dxfId="110" priority="206"/>
  </conditionalFormatting>
  <conditionalFormatting sqref="AB102:AB134">
    <cfRule type="duplicateValues" dxfId="109" priority="205"/>
  </conditionalFormatting>
  <conditionalFormatting sqref="C135:C167">
    <cfRule type="duplicateValues" dxfId="108" priority="204"/>
  </conditionalFormatting>
  <conditionalFormatting sqref="J135:J167">
    <cfRule type="duplicateValues" dxfId="107" priority="203"/>
  </conditionalFormatting>
  <conditionalFormatting sqref="Q135:Q167">
    <cfRule type="duplicateValues" dxfId="106" priority="202"/>
  </conditionalFormatting>
  <conditionalFormatting sqref="X135:X167">
    <cfRule type="duplicateValues" dxfId="105" priority="201"/>
  </conditionalFormatting>
  <conditionalFormatting sqref="G135:G145 G147:G167">
    <cfRule type="duplicateValues" dxfId="104" priority="200"/>
  </conditionalFormatting>
  <conditionalFormatting sqref="N135:N167">
    <cfRule type="duplicateValues" dxfId="103" priority="199"/>
  </conditionalFormatting>
  <conditionalFormatting sqref="U135:U167">
    <cfRule type="duplicateValues" dxfId="102" priority="198"/>
  </conditionalFormatting>
  <conditionalFormatting sqref="AB135:AB167">
    <cfRule type="duplicateValues" dxfId="101" priority="197"/>
  </conditionalFormatting>
  <conditionalFormatting sqref="C168:C177 C179:C200">
    <cfRule type="duplicateValues" dxfId="100" priority="196"/>
  </conditionalFormatting>
  <conditionalFormatting sqref="J168:J200">
    <cfRule type="duplicateValues" dxfId="99" priority="195"/>
  </conditionalFormatting>
  <conditionalFormatting sqref="Q168:Q200">
    <cfRule type="duplicateValues" dxfId="98" priority="194"/>
  </conditionalFormatting>
  <conditionalFormatting sqref="X168:X200">
    <cfRule type="duplicateValues" dxfId="97" priority="193"/>
  </conditionalFormatting>
  <conditionalFormatting sqref="G168:G200">
    <cfRule type="duplicateValues" dxfId="96" priority="192"/>
  </conditionalFormatting>
  <conditionalFormatting sqref="N168:N200">
    <cfRule type="duplicateValues" dxfId="95" priority="191"/>
  </conditionalFormatting>
  <conditionalFormatting sqref="U168:U200">
    <cfRule type="duplicateValues" dxfId="94" priority="190"/>
  </conditionalFormatting>
  <conditionalFormatting sqref="AB168:AB200">
    <cfRule type="duplicateValues" dxfId="93" priority="189"/>
  </conditionalFormatting>
  <conditionalFormatting sqref="C201:C233">
    <cfRule type="duplicateValues" dxfId="92" priority="188"/>
  </conditionalFormatting>
  <conditionalFormatting sqref="J201:J233">
    <cfRule type="duplicateValues" dxfId="91" priority="187"/>
  </conditionalFormatting>
  <conditionalFormatting sqref="Q201:Q233">
    <cfRule type="duplicateValues" dxfId="90" priority="186"/>
  </conditionalFormatting>
  <conditionalFormatting sqref="X201:X233">
    <cfRule type="duplicateValues" dxfId="89" priority="185"/>
  </conditionalFormatting>
  <conditionalFormatting sqref="G201:G233">
    <cfRule type="duplicateValues" dxfId="88" priority="184"/>
  </conditionalFormatting>
  <conditionalFormatting sqref="N201:N233">
    <cfRule type="duplicateValues" dxfId="87" priority="183"/>
  </conditionalFormatting>
  <conditionalFormatting sqref="U201:U233">
    <cfRule type="duplicateValues" dxfId="86" priority="182"/>
  </conditionalFormatting>
  <conditionalFormatting sqref="AB201:AB233">
    <cfRule type="duplicateValues" dxfId="85" priority="181"/>
  </conditionalFormatting>
  <conditionalFormatting sqref="C234:C266">
    <cfRule type="duplicateValues" dxfId="84" priority="180"/>
  </conditionalFormatting>
  <conditionalFormatting sqref="J234:J266">
    <cfRule type="duplicateValues" dxfId="83" priority="179"/>
  </conditionalFormatting>
  <conditionalFormatting sqref="Q234:Q266">
    <cfRule type="duplicateValues" dxfId="82" priority="178"/>
  </conditionalFormatting>
  <conditionalFormatting sqref="X234:X266">
    <cfRule type="duplicateValues" dxfId="81" priority="177"/>
  </conditionalFormatting>
  <conditionalFormatting sqref="G234:G266">
    <cfRule type="duplicateValues" dxfId="80" priority="176"/>
  </conditionalFormatting>
  <conditionalFormatting sqref="N234:N266">
    <cfRule type="duplicateValues" dxfId="79" priority="175"/>
  </conditionalFormatting>
  <conditionalFormatting sqref="U234:U266">
    <cfRule type="duplicateValues" dxfId="78" priority="174"/>
  </conditionalFormatting>
  <conditionalFormatting sqref="AB234:AB266">
    <cfRule type="duplicateValues" dxfId="77" priority="173"/>
  </conditionalFormatting>
  <conditionalFormatting sqref="P3:P8">
    <cfRule type="duplicateValues" dxfId="76" priority="172"/>
  </conditionalFormatting>
  <conditionalFormatting sqref="P36:P41">
    <cfRule type="duplicateValues" dxfId="75" priority="171"/>
  </conditionalFormatting>
  <conditionalFormatting sqref="P69:P74">
    <cfRule type="duplicateValues" dxfId="74" priority="170"/>
  </conditionalFormatting>
  <conditionalFormatting sqref="P102:P107">
    <cfRule type="duplicateValues" dxfId="73" priority="169"/>
  </conditionalFormatting>
  <conditionalFormatting sqref="P135:P140">
    <cfRule type="duplicateValues" dxfId="72" priority="168"/>
  </conditionalFormatting>
  <conditionalFormatting sqref="P168:P173">
    <cfRule type="duplicateValues" dxfId="71" priority="167"/>
  </conditionalFormatting>
  <conditionalFormatting sqref="P201:P206">
    <cfRule type="duplicateValues" dxfId="70" priority="166"/>
  </conditionalFormatting>
  <conditionalFormatting sqref="G69:G100">
    <cfRule type="duplicateValues" dxfId="69" priority="164"/>
  </conditionalFormatting>
  <conditionalFormatting sqref="G102:G133">
    <cfRule type="duplicateValues" dxfId="68" priority="163"/>
  </conditionalFormatting>
  <conditionalFormatting sqref="G135:G145 G147:G166">
    <cfRule type="duplicateValues" dxfId="67" priority="162"/>
  </conditionalFormatting>
  <conditionalFormatting sqref="G168:G199">
    <cfRule type="duplicateValues" dxfId="66" priority="161"/>
  </conditionalFormatting>
  <conditionalFormatting sqref="G201:G232">
    <cfRule type="duplicateValues" dxfId="65" priority="160"/>
  </conditionalFormatting>
  <conditionalFormatting sqref="G234:G265">
    <cfRule type="duplicateValues" dxfId="64" priority="159"/>
  </conditionalFormatting>
  <conditionalFormatting sqref="O3:O26">
    <cfRule type="duplicateValues" dxfId="63" priority="151"/>
  </conditionalFormatting>
  <conditionalFormatting sqref="O27:O50">
    <cfRule type="duplicateValues" dxfId="62" priority="150"/>
  </conditionalFormatting>
  <conditionalFormatting sqref="U11:U35">
    <cfRule type="duplicateValues" dxfId="61" priority="149"/>
  </conditionalFormatting>
  <conditionalFormatting sqref="U36:U60">
    <cfRule type="duplicateValues" dxfId="60" priority="148"/>
  </conditionalFormatting>
  <conditionalFormatting sqref="U69:U93">
    <cfRule type="duplicateValues" dxfId="59" priority="147"/>
  </conditionalFormatting>
  <conditionalFormatting sqref="U102:U126">
    <cfRule type="duplicateValues" dxfId="58" priority="146"/>
  </conditionalFormatting>
  <conditionalFormatting sqref="U135:U159">
    <cfRule type="duplicateValues" dxfId="57" priority="145"/>
  </conditionalFormatting>
  <conditionalFormatting sqref="U168:U192">
    <cfRule type="duplicateValues" dxfId="56" priority="144"/>
  </conditionalFormatting>
  <conditionalFormatting sqref="U201:U225">
    <cfRule type="duplicateValues" dxfId="55" priority="143"/>
  </conditionalFormatting>
  <conditionalFormatting sqref="U234:U258">
    <cfRule type="duplicateValues" dxfId="54" priority="142"/>
  </conditionalFormatting>
  <conditionalFormatting sqref="C267:C299">
    <cfRule type="duplicateValues" dxfId="53" priority="141"/>
  </conditionalFormatting>
  <conditionalFormatting sqref="J267:J299">
    <cfRule type="duplicateValues" dxfId="52" priority="140"/>
  </conditionalFormatting>
  <conditionalFormatting sqref="Q267:Q299">
    <cfRule type="duplicateValues" dxfId="51" priority="139"/>
  </conditionalFormatting>
  <conditionalFormatting sqref="X267:X299">
    <cfRule type="duplicateValues" dxfId="50" priority="138"/>
  </conditionalFormatting>
  <conditionalFormatting sqref="G267:G299">
    <cfRule type="duplicateValues" dxfId="49" priority="137"/>
  </conditionalFormatting>
  <conditionalFormatting sqref="N267:N299">
    <cfRule type="duplicateValues" dxfId="48" priority="136"/>
  </conditionalFormatting>
  <conditionalFormatting sqref="U267:U299">
    <cfRule type="duplicateValues" dxfId="47" priority="135"/>
  </conditionalFormatting>
  <conditionalFormatting sqref="AB267:AB299">
    <cfRule type="duplicateValues" dxfId="46" priority="134"/>
  </conditionalFormatting>
  <conditionalFormatting sqref="G267:G298">
    <cfRule type="duplicateValues" dxfId="45" priority="133"/>
  </conditionalFormatting>
  <conditionalFormatting sqref="U267:U291">
    <cfRule type="duplicateValues" dxfId="44" priority="131"/>
  </conditionalFormatting>
  <conditionalFormatting sqref="G30:G35 G42:G68">
    <cfRule type="duplicateValues" dxfId="43" priority="248"/>
  </conditionalFormatting>
  <conditionalFormatting sqref="G36:G62">
    <cfRule type="duplicateValues" dxfId="42" priority="130"/>
  </conditionalFormatting>
  <conditionalFormatting sqref="G69:G95">
    <cfRule type="duplicateValues" dxfId="41" priority="129"/>
  </conditionalFormatting>
  <conditionalFormatting sqref="G96:G101">
    <cfRule type="duplicateValues" dxfId="40" priority="128"/>
  </conditionalFormatting>
  <conditionalFormatting sqref="G102:G128">
    <cfRule type="duplicateValues" dxfId="39" priority="126"/>
  </conditionalFormatting>
  <conditionalFormatting sqref="G129:G134">
    <cfRule type="duplicateValues" dxfId="38" priority="125"/>
  </conditionalFormatting>
  <conditionalFormatting sqref="G135:G145 G147:G161">
    <cfRule type="duplicateValues" dxfId="37" priority="123"/>
  </conditionalFormatting>
  <conditionalFormatting sqref="G162:G167">
    <cfRule type="duplicateValues" dxfId="36" priority="122"/>
  </conditionalFormatting>
  <conditionalFormatting sqref="G168:G194">
    <cfRule type="duplicateValues" dxfId="35" priority="120"/>
  </conditionalFormatting>
  <conditionalFormatting sqref="G195:G200">
    <cfRule type="duplicateValues" dxfId="34" priority="119"/>
  </conditionalFormatting>
  <conditionalFormatting sqref="G201:G227">
    <cfRule type="duplicateValues" dxfId="33" priority="117"/>
  </conditionalFormatting>
  <conditionalFormatting sqref="G228:G233">
    <cfRule type="duplicateValues" dxfId="32" priority="116"/>
  </conditionalFormatting>
  <conditionalFormatting sqref="G234:G260">
    <cfRule type="duplicateValues" dxfId="31" priority="114"/>
  </conditionalFormatting>
  <conditionalFormatting sqref="G261:G266">
    <cfRule type="duplicateValues" dxfId="30" priority="113"/>
  </conditionalFormatting>
  <conditionalFormatting sqref="G267:G293">
    <cfRule type="duplicateValues" dxfId="29" priority="111"/>
  </conditionalFormatting>
  <conditionalFormatting sqref="G294:G299">
    <cfRule type="duplicateValues" dxfId="28" priority="110"/>
  </conditionalFormatting>
  <conditionalFormatting sqref="N3:N29">
    <cfRule type="duplicateValues" dxfId="27" priority="108"/>
  </conditionalFormatting>
  <conditionalFormatting sqref="N30:N35">
    <cfRule type="duplicateValues" dxfId="26" priority="107"/>
  </conditionalFormatting>
  <conditionalFormatting sqref="N36:N62 N69:N95">
    <cfRule type="duplicateValues" dxfId="25" priority="105"/>
  </conditionalFormatting>
  <conditionalFormatting sqref="N63:N68 N96:N101">
    <cfRule type="duplicateValues" dxfId="24" priority="104"/>
  </conditionalFormatting>
  <conditionalFormatting sqref="N102:N128">
    <cfRule type="duplicateValues" dxfId="23" priority="102"/>
  </conditionalFormatting>
  <conditionalFormatting sqref="N129:N134">
    <cfRule type="duplicateValues" dxfId="22" priority="101"/>
  </conditionalFormatting>
  <conditionalFormatting sqref="N135:N161">
    <cfRule type="duplicateValues" dxfId="21" priority="99"/>
  </conditionalFormatting>
  <conditionalFormatting sqref="N162:N167">
    <cfRule type="duplicateValues" dxfId="20" priority="98"/>
  </conditionalFormatting>
  <conditionalFormatting sqref="N168:N194">
    <cfRule type="duplicateValues" dxfId="19" priority="96"/>
  </conditionalFormatting>
  <conditionalFormatting sqref="N195:N200">
    <cfRule type="duplicateValues" dxfId="18" priority="95"/>
  </conditionalFormatting>
  <conditionalFormatting sqref="N201:N227">
    <cfRule type="duplicateValues" dxfId="17" priority="93"/>
  </conditionalFormatting>
  <conditionalFormatting sqref="N228:N233">
    <cfRule type="duplicateValues" dxfId="16" priority="92"/>
  </conditionalFormatting>
  <conditionalFormatting sqref="N234:N260">
    <cfRule type="duplicateValues" dxfId="15" priority="90"/>
  </conditionalFormatting>
  <conditionalFormatting sqref="N261:N266">
    <cfRule type="duplicateValues" dxfId="14" priority="89"/>
  </conditionalFormatting>
  <conditionalFormatting sqref="N267:N293">
    <cfRule type="duplicateValues" dxfId="13" priority="87"/>
  </conditionalFormatting>
  <conditionalFormatting sqref="N294:N299">
    <cfRule type="duplicateValues" dxfId="12" priority="86"/>
  </conditionalFormatting>
  <conditionalFormatting sqref="N36:N62">
    <cfRule type="duplicateValues" dxfId="11" priority="59"/>
  </conditionalFormatting>
  <conditionalFormatting sqref="N63:N68">
    <cfRule type="duplicateValues" dxfId="10" priority="58"/>
  </conditionalFormatting>
  <conditionalFormatting sqref="N69:N95">
    <cfRule type="duplicateValues" dxfId="9" priority="56"/>
  </conditionalFormatting>
  <conditionalFormatting sqref="N96:N101">
    <cfRule type="duplicateValues" dxfId="8" priority="55"/>
  </conditionalFormatting>
  <conditionalFormatting sqref="N69:N73">
    <cfRule type="duplicateValues" dxfId="7" priority="35"/>
  </conditionalFormatting>
  <conditionalFormatting sqref="N102:N106">
    <cfRule type="duplicateValues" dxfId="6" priority="33"/>
  </conditionalFormatting>
  <conditionalFormatting sqref="N135:N139">
    <cfRule type="duplicateValues" dxfId="5" priority="30"/>
  </conditionalFormatting>
  <conditionalFormatting sqref="N168:N172">
    <cfRule type="duplicateValues" dxfId="4" priority="27"/>
  </conditionalFormatting>
  <conditionalFormatting sqref="N201:N205">
    <cfRule type="duplicateValues" dxfId="3" priority="21"/>
  </conditionalFormatting>
  <conditionalFormatting sqref="N234:N238">
    <cfRule type="duplicateValues" dxfId="2" priority="12"/>
  </conditionalFormatting>
  <dataValidations count="1">
    <dataValidation type="list" allowBlank="1" showInputMessage="1" showErrorMessage="1" sqref="Z296 C3:C177 C179:C299 Z291:Z292 Z287 Z282:Z283 Z278 Z273:Z274 Z267:Z268 S296 S291:S292 S287 S282:S283 S278 S273:S274 S267:S268 L296 L291:L292 L287 L282:L283 L278 L273:L274 L267:L268 E296 E291:E292 E287 E282:E283 E278 E273:E274 E267:E268 Z263 Z258:Z259 Z254 Z249:Z250 Z245 Z240:Z241 Z234:Z235 S263 S258:S259 S254 S249:S250 S245 S240:S241 S234:S235 L263 L258:L259 L254 L249:L250 L245 L240:L241 L234:L235 E263 E258:E259 E254 E249:E250 E245 E240:E241 E234:E235 Z230 Z225:Z226 Z221 Z216:Z217 Z212 Z207:Z208 Z201:Z202 S230 S225:S226 S221 S216:S217 S212 S207:S208 S201:S202 L230 L225:L226 L221 L216:L217 L212 L207:L208 L201:L202 E230 E225:E226 E221 E216:E217 E212 E207:E208 E201:E202 Z197 Z192:Z193 Z188 Z183:Z184 Z179 Z174:Z175 Z168:Z169 S197 S192:S193 S188 S183:S184 S179 S174:S175 S168:S169 L197 L192:L193 L188 L183:L184 L179 L174:L175 L168:L169 E197 E192:E193 E188 E183:E184 E179 E174:E175 E168:E169 Z164 Z159:Z160 Z155 Z150:Z151 Z146 Z141:Z142 Z135:Z136 S164 S159:S160 S155 S150:S151 S146 S141:S142 S135:S136 L164 L159:L160 L155 L150:L151 L146 L141:L142 L135:L136 E164 E159:E160 E155 E150:E151 E146 E141:E142 E135:E136 Z131 Z126:Z127 Z122 Z117:Z118 Z113 Z108:Z109 Z102:Z103 S131 S126:S127 S122 S117:S118 S113 S108:S109 S102:S103 L131 L126:L127 L122 L117:L118 L113 L108:L109 L102:L103 E131 E126:E127 E122 E117:E118 E113 E108:E109 E102:E103 Z98 Z93:Z94 Z89 Z84:Z85 Z80 Z75:Z76 Z69:Z70 S98 S93:S94 S89 S84:S85 S80 S75:S76 S69:S70 L98 L93:L94 L89 L84:L85 L80 L75:L76 L69:L70 E98 E93:E94 E89 E84:E85 E80 E75:E76 E69:E70 Z65 Z60:Z61 Z56 Z51:Z52 Z47 Z42:Z43 Z36:Z37 S65 S60:S61 S56 S51:S52 S47 S42:S43 S36:S37 L65 L60:L61 L56 L51:L52 L47 L42:L43 L36:L37 E65 E60:E61 E56 E51:E52 E47 E42:E43 E36:E37 Z32 Z27:Z28 Z23 Z18:Z19 Z14 Z9:Z10 Z3:Z4 S32 S27:S28 S23 S18:S19 S14 S9:S10 S3:S4 L32 L27:L28 L23 L18:L19 L14 L9:L10 L3:L4 E32 E27:E28 E23 E18:E19 E14 E9:E10 E3:E4 X3:X299 Q3:Q299 J3:J299">
      <formula1>Liste_enseignants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zoomScale="70" zoomScaleNormal="70" workbookViewId="0">
      <pane xSplit="1" topLeftCell="B1" activePane="topRight" state="frozen"/>
      <selection activeCell="A70" sqref="A70"/>
      <selection pane="topRight" activeCell="A44" sqref="A1:K48"/>
    </sheetView>
  </sheetViews>
  <sheetFormatPr baseColWidth="10" defaultRowHeight="15"/>
  <cols>
    <col min="1" max="1" width="21" style="1" customWidth="1"/>
    <col min="2" max="2" width="17.5703125" style="1" bestFit="1" customWidth="1"/>
    <col min="3" max="3" width="54.85546875" style="1" bestFit="1" customWidth="1"/>
    <col min="4" max="4" width="25.85546875" bestFit="1" customWidth="1"/>
    <col min="5" max="5" width="6.85546875" style="2" bestFit="1" customWidth="1"/>
    <col min="6" max="6" width="9.140625" bestFit="1" customWidth="1"/>
    <col min="7" max="7" width="1.28515625" customWidth="1"/>
    <col min="8" max="8" width="57.5703125" bestFit="1" customWidth="1"/>
    <col min="9" max="9" width="25.85546875" bestFit="1" customWidth="1"/>
    <col min="10" max="10" width="6.85546875" bestFit="1" customWidth="1"/>
    <col min="11" max="11" width="7.5703125" bestFit="1" customWidth="1"/>
  </cols>
  <sheetData>
    <row r="1" spans="1:11" ht="36">
      <c r="A1" s="245" t="s">
        <v>135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36">
      <c r="A2" s="246" t="s">
        <v>136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</row>
    <row r="3" spans="1:11" ht="36">
      <c r="A3" s="246" t="s">
        <v>137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</row>
    <row r="4" spans="1:11" ht="46.5">
      <c r="A4" s="247" t="s">
        <v>271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</row>
    <row r="5" spans="1:11" ht="8.25" customHeight="1" thickBot="1"/>
    <row r="6" spans="1:11" ht="44.25" customHeight="1" thickBot="1">
      <c r="A6" s="7"/>
      <c r="B6" s="248" t="s">
        <v>10</v>
      </c>
      <c r="C6" s="251" t="s">
        <v>176</v>
      </c>
      <c r="D6" s="251"/>
      <c r="E6" s="251"/>
      <c r="F6" s="251"/>
      <c r="G6" s="251"/>
      <c r="H6" s="251"/>
      <c r="I6" s="251"/>
      <c r="J6" s="251"/>
      <c r="K6" s="252"/>
    </row>
    <row r="7" spans="1:11" ht="44.25" customHeight="1" thickBot="1">
      <c r="A7" s="7"/>
      <c r="B7" s="249"/>
      <c r="C7" s="251" t="s">
        <v>0</v>
      </c>
      <c r="D7" s="251"/>
      <c r="E7" s="251"/>
      <c r="F7" s="252"/>
      <c r="G7" s="68"/>
      <c r="H7" s="253" t="s">
        <v>178</v>
      </c>
      <c r="I7" s="251"/>
      <c r="J7" s="251"/>
      <c r="K7" s="252"/>
    </row>
    <row r="8" spans="1:11" ht="42.75" thickBot="1">
      <c r="A8" s="8"/>
      <c r="B8" s="250"/>
      <c r="C8" s="69" t="s">
        <v>5</v>
      </c>
      <c r="D8" s="65" t="s">
        <v>7</v>
      </c>
      <c r="E8" s="65" t="s">
        <v>8</v>
      </c>
      <c r="F8" s="65" t="s">
        <v>6</v>
      </c>
      <c r="G8" s="22"/>
      <c r="H8" s="67" t="s">
        <v>5</v>
      </c>
      <c r="I8" s="67" t="s">
        <v>7</v>
      </c>
      <c r="J8" s="65" t="s">
        <v>8</v>
      </c>
      <c r="K8" s="65" t="s">
        <v>6</v>
      </c>
    </row>
    <row r="9" spans="1:11" ht="32.1" customHeight="1">
      <c r="A9" s="223" t="s">
        <v>279</v>
      </c>
      <c r="B9" s="10" t="s">
        <v>11</v>
      </c>
      <c r="C9" s="18"/>
      <c r="D9" s="13"/>
      <c r="E9" s="13"/>
      <c r="F9" s="14"/>
      <c r="G9" s="5"/>
      <c r="H9" s="12"/>
      <c r="I9" s="13"/>
      <c r="J9" s="13"/>
      <c r="K9" s="14"/>
    </row>
    <row r="10" spans="1:11" ht="32.1" customHeight="1">
      <c r="A10" s="224"/>
      <c r="B10" s="226" t="s">
        <v>12</v>
      </c>
      <c r="C10" s="275"/>
      <c r="D10" s="232"/>
      <c r="E10" s="9"/>
      <c r="F10" s="15"/>
      <c r="G10" s="4"/>
      <c r="H10" s="280"/>
      <c r="I10" s="232"/>
      <c r="J10" s="9"/>
      <c r="K10" s="15"/>
    </row>
    <row r="11" spans="1:11" ht="32.1" customHeight="1">
      <c r="A11" s="224"/>
      <c r="B11" s="227"/>
      <c r="C11" s="275"/>
      <c r="D11" s="276"/>
      <c r="E11" s="9"/>
      <c r="F11" s="15"/>
      <c r="G11" s="19"/>
      <c r="H11" s="280"/>
      <c r="I11" s="276"/>
      <c r="J11" s="9"/>
      <c r="K11" s="15"/>
    </row>
    <row r="12" spans="1:11" ht="32.1" customHeight="1">
      <c r="A12" s="224"/>
      <c r="B12" s="226" t="s">
        <v>13</v>
      </c>
      <c r="C12" s="275"/>
      <c r="D12" s="278"/>
      <c r="E12" s="9"/>
      <c r="F12" s="15"/>
      <c r="G12" s="4"/>
      <c r="H12" s="280"/>
      <c r="I12" s="278"/>
      <c r="J12" s="9"/>
      <c r="K12" s="15"/>
    </row>
    <row r="13" spans="1:11" ht="32.1" customHeight="1" thickBot="1">
      <c r="A13" s="224"/>
      <c r="B13" s="227"/>
      <c r="C13" s="277"/>
      <c r="D13" s="279"/>
      <c r="E13" s="16"/>
      <c r="F13" s="17"/>
      <c r="G13" s="19"/>
      <c r="H13" s="281"/>
      <c r="I13" s="279"/>
      <c r="J13" s="16"/>
      <c r="K13" s="17"/>
    </row>
    <row r="14" spans="1:11" ht="32.1" customHeight="1">
      <c r="A14" s="223" t="s">
        <v>276</v>
      </c>
      <c r="B14" s="10" t="s">
        <v>11</v>
      </c>
      <c r="C14" s="18" t="s">
        <v>180</v>
      </c>
      <c r="D14" s="13" t="s">
        <v>55</v>
      </c>
      <c r="E14" s="13"/>
      <c r="F14" s="14"/>
      <c r="G14" s="3"/>
      <c r="H14" s="12"/>
      <c r="I14" s="13"/>
      <c r="J14" s="13"/>
      <c r="K14" s="14"/>
    </row>
    <row r="15" spans="1:11" ht="32.1" customHeight="1">
      <c r="A15" s="224"/>
      <c r="B15" s="226" t="s">
        <v>12</v>
      </c>
      <c r="C15" s="275" t="s">
        <v>197</v>
      </c>
      <c r="D15" s="232" t="s">
        <v>198</v>
      </c>
      <c r="E15" s="9"/>
      <c r="F15" s="15"/>
      <c r="G15" s="4"/>
      <c r="H15" s="280" t="s">
        <v>45</v>
      </c>
      <c r="I15" s="232" t="s">
        <v>190</v>
      </c>
      <c r="J15" s="9"/>
      <c r="K15" s="15"/>
    </row>
    <row r="16" spans="1:11" ht="32.1" customHeight="1">
      <c r="A16" s="224"/>
      <c r="B16" s="227"/>
      <c r="C16" s="275"/>
      <c r="D16" s="276"/>
      <c r="E16" s="9"/>
      <c r="F16" s="15"/>
      <c r="G16" s="19"/>
      <c r="H16" s="280"/>
      <c r="I16" s="276"/>
      <c r="J16" s="9"/>
      <c r="K16" s="15"/>
    </row>
    <row r="17" spans="1:11" ht="32.1" customHeight="1">
      <c r="A17" s="224"/>
      <c r="B17" s="226" t="s">
        <v>13</v>
      </c>
      <c r="C17" s="275" t="s">
        <v>131</v>
      </c>
      <c r="D17" s="278" t="s">
        <v>65</v>
      </c>
      <c r="E17" s="9"/>
      <c r="F17" s="15"/>
      <c r="G17" s="4"/>
      <c r="H17" s="280"/>
      <c r="I17" s="278"/>
      <c r="J17" s="9"/>
      <c r="K17" s="15"/>
    </row>
    <row r="18" spans="1:11" ht="32.1" customHeight="1" thickBot="1">
      <c r="A18" s="224"/>
      <c r="B18" s="227"/>
      <c r="C18" s="277"/>
      <c r="D18" s="279"/>
      <c r="E18" s="16"/>
      <c r="F18" s="17"/>
      <c r="G18" s="19"/>
      <c r="H18" s="281"/>
      <c r="I18" s="279"/>
      <c r="J18" s="16"/>
      <c r="K18" s="17"/>
    </row>
    <row r="19" spans="1:11" ht="21">
      <c r="A19" s="243" t="s">
        <v>264</v>
      </c>
      <c r="B19" s="11" t="s">
        <v>11</v>
      </c>
      <c r="C19" s="18" t="s">
        <v>181</v>
      </c>
      <c r="D19" s="13" t="s">
        <v>272</v>
      </c>
      <c r="E19" s="13"/>
      <c r="F19" s="14"/>
      <c r="G19" s="3"/>
      <c r="H19" s="12"/>
      <c r="I19" s="13"/>
      <c r="J19" s="13"/>
      <c r="K19" s="14"/>
    </row>
    <row r="20" spans="1:11" ht="32.1" customHeight="1">
      <c r="A20" s="244"/>
      <c r="B20" s="240" t="s">
        <v>12</v>
      </c>
      <c r="C20" s="275" t="s">
        <v>200</v>
      </c>
      <c r="D20" s="232" t="s">
        <v>130</v>
      </c>
      <c r="E20" s="9"/>
      <c r="F20" s="15"/>
      <c r="G20" s="4"/>
      <c r="H20" s="280"/>
      <c r="I20" s="232"/>
      <c r="J20" s="9"/>
      <c r="K20" s="15"/>
    </row>
    <row r="21" spans="1:11" ht="32.1" customHeight="1">
      <c r="A21" s="244"/>
      <c r="B21" s="241"/>
      <c r="C21" s="275"/>
      <c r="D21" s="276"/>
      <c r="E21" s="9"/>
      <c r="F21" s="15"/>
      <c r="G21" s="19"/>
      <c r="H21" s="280"/>
      <c r="I21" s="276"/>
      <c r="J21" s="9"/>
      <c r="K21" s="15"/>
    </row>
    <row r="22" spans="1:11" ht="32.1" customHeight="1">
      <c r="A22" s="244"/>
      <c r="B22" s="240" t="s">
        <v>13</v>
      </c>
      <c r="C22" s="275" t="s">
        <v>203</v>
      </c>
      <c r="D22" s="278" t="s">
        <v>61</v>
      </c>
      <c r="E22" s="9"/>
      <c r="F22" s="15"/>
      <c r="G22" s="4"/>
      <c r="H22" s="280"/>
      <c r="I22" s="278"/>
      <c r="J22" s="9"/>
      <c r="K22" s="15"/>
    </row>
    <row r="23" spans="1:11" ht="32.1" customHeight="1" thickBot="1">
      <c r="A23" s="244"/>
      <c r="B23" s="241"/>
      <c r="C23" s="277"/>
      <c r="D23" s="279"/>
      <c r="E23" s="16"/>
      <c r="F23" s="17"/>
      <c r="G23" s="19"/>
      <c r="H23" s="281"/>
      <c r="I23" s="279"/>
      <c r="J23" s="16"/>
      <c r="K23" s="17"/>
    </row>
    <row r="24" spans="1:11" ht="32.1" customHeight="1">
      <c r="A24" s="235" t="s">
        <v>265</v>
      </c>
      <c r="B24" s="10" t="s">
        <v>11</v>
      </c>
      <c r="C24" s="70" t="s">
        <v>179</v>
      </c>
      <c r="D24" s="13" t="s">
        <v>61</v>
      </c>
      <c r="E24" s="13"/>
      <c r="F24" s="14"/>
      <c r="G24" s="3"/>
      <c r="H24" s="12"/>
      <c r="I24" s="13"/>
      <c r="J24" s="13"/>
      <c r="K24" s="14"/>
    </row>
    <row r="25" spans="1:11" ht="32.1" customHeight="1">
      <c r="A25" s="236"/>
      <c r="B25" s="226" t="s">
        <v>12</v>
      </c>
      <c r="C25" s="282" t="s">
        <v>179</v>
      </c>
      <c r="D25" s="232" t="s">
        <v>61</v>
      </c>
      <c r="E25" s="9"/>
      <c r="F25" s="15"/>
      <c r="G25" s="4"/>
      <c r="H25" s="280"/>
      <c r="I25" s="232"/>
      <c r="J25" s="9"/>
      <c r="K25" s="15"/>
    </row>
    <row r="26" spans="1:11" ht="32.1" customHeight="1">
      <c r="A26" s="236"/>
      <c r="B26" s="227"/>
      <c r="C26" s="282"/>
      <c r="D26" s="276"/>
      <c r="E26" s="9"/>
      <c r="F26" s="15"/>
      <c r="G26" s="19"/>
      <c r="H26" s="280"/>
      <c r="I26" s="276"/>
      <c r="J26" s="9"/>
      <c r="K26" s="15"/>
    </row>
    <row r="27" spans="1:11" ht="32.1" customHeight="1">
      <c r="A27" s="236"/>
      <c r="B27" s="226" t="s">
        <v>13</v>
      </c>
      <c r="C27" s="282" t="s">
        <v>179</v>
      </c>
      <c r="D27" s="278" t="s">
        <v>61</v>
      </c>
      <c r="E27" s="9"/>
      <c r="F27" s="15"/>
      <c r="G27" s="4"/>
      <c r="H27" s="280"/>
      <c r="I27" s="278"/>
      <c r="J27" s="9"/>
      <c r="K27" s="15"/>
    </row>
    <row r="28" spans="1:11" ht="32.1" customHeight="1" thickBot="1">
      <c r="A28" s="236"/>
      <c r="B28" s="228"/>
      <c r="C28" s="283"/>
      <c r="D28" s="279"/>
      <c r="E28" s="16"/>
      <c r="F28" s="17"/>
      <c r="G28" s="19"/>
      <c r="H28" s="281"/>
      <c r="I28" s="279"/>
      <c r="J28" s="16"/>
      <c r="K28" s="17"/>
    </row>
    <row r="29" spans="1:11" ht="32.1" customHeight="1">
      <c r="A29" s="243" t="s">
        <v>266</v>
      </c>
      <c r="B29" s="21" t="s">
        <v>11</v>
      </c>
      <c r="C29" s="18" t="s">
        <v>182</v>
      </c>
      <c r="D29" s="13" t="s">
        <v>51</v>
      </c>
      <c r="E29" s="13"/>
      <c r="F29" s="14"/>
      <c r="G29" s="3"/>
      <c r="H29" s="12"/>
      <c r="I29" s="13"/>
      <c r="J29" s="13"/>
      <c r="K29" s="14"/>
    </row>
    <row r="30" spans="1:11" ht="32.1" customHeight="1">
      <c r="A30" s="244"/>
      <c r="B30" s="240" t="s">
        <v>12</v>
      </c>
      <c r="C30" s="275" t="s">
        <v>199</v>
      </c>
      <c r="D30" s="232" t="s">
        <v>125</v>
      </c>
      <c r="E30" s="9"/>
      <c r="F30" s="15"/>
      <c r="G30" s="4"/>
      <c r="H30" s="280"/>
      <c r="I30" s="232"/>
      <c r="J30" s="9"/>
      <c r="K30" s="15"/>
    </row>
    <row r="31" spans="1:11" ht="32.1" customHeight="1">
      <c r="A31" s="244"/>
      <c r="B31" s="241"/>
      <c r="C31" s="275"/>
      <c r="D31" s="276"/>
      <c r="E31" s="9"/>
      <c r="F31" s="15"/>
      <c r="G31" s="19"/>
      <c r="H31" s="280"/>
      <c r="I31" s="276"/>
      <c r="J31" s="9"/>
      <c r="K31" s="15"/>
    </row>
    <row r="32" spans="1:11" ht="32.1" customHeight="1">
      <c r="A32" s="244"/>
      <c r="B32" s="240" t="s">
        <v>13</v>
      </c>
      <c r="C32" s="275" t="s">
        <v>204</v>
      </c>
      <c r="D32" s="278" t="s">
        <v>65</v>
      </c>
      <c r="E32" s="9"/>
      <c r="F32" s="15"/>
      <c r="G32" s="4"/>
      <c r="H32" s="280"/>
      <c r="I32" s="278"/>
      <c r="J32" s="9"/>
      <c r="K32" s="15"/>
    </row>
    <row r="33" spans="1:11" ht="32.1" customHeight="1" thickBot="1">
      <c r="A33" s="244"/>
      <c r="B33" s="241"/>
      <c r="C33" s="277"/>
      <c r="D33" s="279"/>
      <c r="E33" s="16"/>
      <c r="F33" s="17"/>
      <c r="G33" s="19"/>
      <c r="H33" s="281"/>
      <c r="I33" s="279"/>
      <c r="J33" s="16"/>
      <c r="K33" s="17"/>
    </row>
    <row r="34" spans="1:11" ht="32.1" customHeight="1">
      <c r="A34" s="223" t="s">
        <v>267</v>
      </c>
      <c r="B34" s="10" t="s">
        <v>11</v>
      </c>
      <c r="C34" s="18" t="s">
        <v>183</v>
      </c>
      <c r="D34" s="13" t="s">
        <v>78</v>
      </c>
      <c r="E34" s="13"/>
      <c r="F34" s="14"/>
      <c r="G34" s="3"/>
      <c r="H34" s="12"/>
      <c r="I34" s="13"/>
      <c r="J34" s="13"/>
      <c r="K34" s="14"/>
    </row>
    <row r="35" spans="1:11" ht="32.1" customHeight="1">
      <c r="A35" s="224"/>
      <c r="B35" s="226" t="s">
        <v>12</v>
      </c>
      <c r="C35" s="282" t="s">
        <v>196</v>
      </c>
      <c r="D35" s="284" t="s">
        <v>87</v>
      </c>
      <c r="E35" s="9"/>
      <c r="F35" s="15"/>
      <c r="G35" s="4"/>
      <c r="H35" s="280"/>
      <c r="I35" s="232"/>
      <c r="J35" s="9"/>
      <c r="K35" s="15"/>
    </row>
    <row r="36" spans="1:11" ht="32.1" customHeight="1">
      <c r="A36" s="224"/>
      <c r="B36" s="227"/>
      <c r="C36" s="282"/>
      <c r="D36" s="285"/>
      <c r="E36" s="9"/>
      <c r="F36" s="15"/>
      <c r="G36" s="19"/>
      <c r="H36" s="280"/>
      <c r="I36" s="276"/>
      <c r="J36" s="9"/>
      <c r="K36" s="15"/>
    </row>
    <row r="37" spans="1:11" ht="32.1" customHeight="1">
      <c r="A37" s="224"/>
      <c r="B37" s="226" t="s">
        <v>13</v>
      </c>
      <c r="C37" s="282" t="s">
        <v>196</v>
      </c>
      <c r="D37" s="286" t="s">
        <v>87</v>
      </c>
      <c r="E37" s="9"/>
      <c r="F37" s="15"/>
      <c r="G37" s="4"/>
      <c r="H37" s="280"/>
      <c r="I37" s="278"/>
      <c r="J37" s="9"/>
      <c r="K37" s="15"/>
    </row>
    <row r="38" spans="1:11" ht="32.1" customHeight="1" thickBot="1">
      <c r="A38" s="224"/>
      <c r="B38" s="227"/>
      <c r="C38" s="283"/>
      <c r="D38" s="287"/>
      <c r="E38" s="16"/>
      <c r="F38" s="17"/>
      <c r="G38" s="19"/>
      <c r="H38" s="281"/>
      <c r="I38" s="279"/>
      <c r="J38" s="16"/>
      <c r="K38" s="17"/>
    </row>
    <row r="39" spans="1:11" ht="32.1" customHeight="1">
      <c r="A39" s="243" t="s">
        <v>280</v>
      </c>
      <c r="B39" s="11" t="s">
        <v>11</v>
      </c>
      <c r="C39" s="18" t="s">
        <v>184</v>
      </c>
      <c r="D39" s="13" t="s">
        <v>78</v>
      </c>
      <c r="E39" s="13"/>
      <c r="F39" s="14"/>
      <c r="G39" s="3"/>
      <c r="H39" s="12"/>
      <c r="I39" s="13"/>
      <c r="J39" s="13"/>
      <c r="K39" s="14"/>
    </row>
    <row r="40" spans="1:11" ht="32.1" customHeight="1">
      <c r="A40" s="244"/>
      <c r="B40" s="240" t="s">
        <v>12</v>
      </c>
      <c r="C40" s="275" t="s">
        <v>201</v>
      </c>
      <c r="D40" s="232" t="s">
        <v>122</v>
      </c>
      <c r="E40" s="9"/>
      <c r="F40" s="15"/>
      <c r="G40" s="4"/>
      <c r="H40" s="280"/>
      <c r="I40" s="232"/>
      <c r="J40" s="9"/>
      <c r="K40" s="15"/>
    </row>
    <row r="41" spans="1:11" ht="32.1" customHeight="1">
      <c r="A41" s="244"/>
      <c r="B41" s="241"/>
      <c r="C41" s="275"/>
      <c r="D41" s="276"/>
      <c r="E41" s="9"/>
      <c r="F41" s="15"/>
      <c r="G41" s="19"/>
      <c r="H41" s="280"/>
      <c r="I41" s="276"/>
      <c r="J41" s="9"/>
      <c r="K41" s="15"/>
    </row>
    <row r="42" spans="1:11" ht="32.1" customHeight="1">
      <c r="A42" s="244"/>
      <c r="B42" s="240" t="s">
        <v>13</v>
      </c>
      <c r="C42" s="275" t="s">
        <v>205</v>
      </c>
      <c r="D42" s="278" t="s">
        <v>272</v>
      </c>
      <c r="E42" s="9"/>
      <c r="F42" s="15"/>
      <c r="G42" s="4"/>
      <c r="H42" s="280"/>
      <c r="I42" s="278"/>
      <c r="J42" s="9"/>
      <c r="K42" s="15"/>
    </row>
    <row r="43" spans="1:11" ht="32.1" customHeight="1" thickBot="1">
      <c r="A43" s="244"/>
      <c r="B43" s="241"/>
      <c r="C43" s="277"/>
      <c r="D43" s="279"/>
      <c r="E43" s="16"/>
      <c r="F43" s="17"/>
      <c r="G43" s="19"/>
      <c r="H43" s="281"/>
      <c r="I43" s="279"/>
      <c r="J43" s="16"/>
      <c r="K43" s="17"/>
    </row>
    <row r="44" spans="1:11" ht="21" customHeight="1">
      <c r="A44" s="223" t="s">
        <v>281</v>
      </c>
      <c r="B44" s="10" t="s">
        <v>11</v>
      </c>
      <c r="C44" s="18" t="s">
        <v>185</v>
      </c>
      <c r="D44" s="13" t="s">
        <v>110</v>
      </c>
      <c r="E44" s="13"/>
      <c r="F44" s="14"/>
      <c r="G44" s="3"/>
      <c r="H44" s="12"/>
      <c r="I44" s="13"/>
      <c r="J44" s="13"/>
      <c r="K44" s="14"/>
    </row>
    <row r="45" spans="1:11" ht="21" customHeight="1">
      <c r="A45" s="224"/>
      <c r="B45" s="226" t="s">
        <v>12</v>
      </c>
      <c r="C45" s="275" t="s">
        <v>202</v>
      </c>
      <c r="D45" s="232" t="s">
        <v>67</v>
      </c>
      <c r="E45" s="216"/>
      <c r="F45" s="15"/>
      <c r="G45" s="4"/>
      <c r="H45" s="280"/>
      <c r="I45" s="232"/>
      <c r="J45" s="216"/>
      <c r="K45" s="15"/>
    </row>
    <row r="46" spans="1:11" ht="21" customHeight="1">
      <c r="A46" s="224"/>
      <c r="B46" s="227"/>
      <c r="C46" s="275"/>
      <c r="D46" s="276"/>
      <c r="E46" s="216"/>
      <c r="F46" s="15"/>
      <c r="G46" s="19"/>
      <c r="H46" s="280"/>
      <c r="I46" s="276"/>
      <c r="J46" s="216"/>
      <c r="K46" s="15"/>
    </row>
    <row r="47" spans="1:11" ht="21" customHeight="1">
      <c r="A47" s="224"/>
      <c r="B47" s="226" t="s">
        <v>13</v>
      </c>
      <c r="C47" s="275" t="s">
        <v>206</v>
      </c>
      <c r="D47" s="278" t="s">
        <v>273</v>
      </c>
      <c r="E47" s="216"/>
      <c r="F47" s="15"/>
      <c r="G47" s="4"/>
      <c r="H47" s="280"/>
      <c r="I47" s="278"/>
      <c r="J47" s="216"/>
      <c r="K47" s="15"/>
    </row>
    <row r="48" spans="1:11" ht="21.75" customHeight="1" thickBot="1">
      <c r="A48" s="225"/>
      <c r="B48" s="228"/>
      <c r="C48" s="277"/>
      <c r="D48" s="279"/>
      <c r="E48" s="217"/>
      <c r="F48" s="17"/>
      <c r="G48" s="19"/>
      <c r="H48" s="281"/>
      <c r="I48" s="279"/>
      <c r="J48" s="217"/>
      <c r="K48" s="17"/>
    </row>
    <row r="49" spans="1:11" ht="21">
      <c r="A49" s="223"/>
      <c r="B49" s="10"/>
      <c r="C49" s="18"/>
      <c r="D49" s="13"/>
      <c r="E49" s="13"/>
      <c r="F49" s="14"/>
      <c r="G49" s="3"/>
      <c r="H49" s="12"/>
      <c r="I49" s="13"/>
      <c r="J49" s="13"/>
      <c r="K49" s="14"/>
    </row>
    <row r="50" spans="1:11" ht="21">
      <c r="A50" s="224"/>
      <c r="B50" s="226"/>
      <c r="C50" s="275"/>
      <c r="D50" s="232"/>
      <c r="E50" s="216"/>
      <c r="F50" s="15"/>
      <c r="G50" s="4"/>
      <c r="H50" s="280"/>
      <c r="I50" s="232"/>
      <c r="J50" s="216"/>
      <c r="K50" s="15"/>
    </row>
    <row r="51" spans="1:11" ht="21">
      <c r="A51" s="224"/>
      <c r="B51" s="227"/>
      <c r="C51" s="275"/>
      <c r="D51" s="276"/>
      <c r="E51" s="216"/>
      <c r="F51" s="15"/>
      <c r="G51" s="19"/>
      <c r="H51" s="280"/>
      <c r="I51" s="276"/>
      <c r="J51" s="216"/>
      <c r="K51" s="15"/>
    </row>
    <row r="52" spans="1:11" ht="21">
      <c r="A52" s="224"/>
      <c r="B52" s="226"/>
      <c r="C52" s="275"/>
      <c r="D52" s="278"/>
      <c r="E52" s="216"/>
      <c r="F52" s="15"/>
      <c r="G52" s="4"/>
      <c r="H52" s="280"/>
      <c r="I52" s="278"/>
      <c r="J52" s="216"/>
      <c r="K52" s="15"/>
    </row>
    <row r="53" spans="1:11" ht="21.75" thickBot="1">
      <c r="A53" s="225"/>
      <c r="B53" s="228"/>
      <c r="C53" s="277"/>
      <c r="D53" s="279"/>
      <c r="E53" s="217"/>
      <c r="F53" s="17"/>
      <c r="G53" s="19"/>
      <c r="H53" s="281"/>
      <c r="I53" s="279"/>
      <c r="J53" s="217"/>
      <c r="K53" s="17"/>
    </row>
  </sheetData>
  <mergeCells count="107">
    <mergeCell ref="C42:C43"/>
    <mergeCell ref="D42:D43"/>
    <mergeCell ref="H37:H38"/>
    <mergeCell ref="I35:I36"/>
    <mergeCell ref="I37:I38"/>
    <mergeCell ref="H40:H41"/>
    <mergeCell ref="H42:H43"/>
    <mergeCell ref="I40:I41"/>
    <mergeCell ref="I42:I43"/>
    <mergeCell ref="H27:H28"/>
    <mergeCell ref="I32:I33"/>
    <mergeCell ref="D35:D36"/>
    <mergeCell ref="D37:D38"/>
    <mergeCell ref="D40:D41"/>
    <mergeCell ref="D32:D33"/>
    <mergeCell ref="D25:D26"/>
    <mergeCell ref="D30:D31"/>
    <mergeCell ref="C35:C36"/>
    <mergeCell ref="C37:C38"/>
    <mergeCell ref="C40:C41"/>
    <mergeCell ref="H30:H31"/>
    <mergeCell ref="H32:H33"/>
    <mergeCell ref="H35:H36"/>
    <mergeCell ref="B6:B8"/>
    <mergeCell ref="A9:A13"/>
    <mergeCell ref="B10:B11"/>
    <mergeCell ref="B12:B13"/>
    <mergeCell ref="A19:A23"/>
    <mergeCell ref="B20:B21"/>
    <mergeCell ref="B22:B23"/>
    <mergeCell ref="A14:A18"/>
    <mergeCell ref="B15:B16"/>
    <mergeCell ref="A1:K1"/>
    <mergeCell ref="A2:K2"/>
    <mergeCell ref="A3:K3"/>
    <mergeCell ref="A4:K4"/>
    <mergeCell ref="A39:A43"/>
    <mergeCell ref="B40:B41"/>
    <mergeCell ref="B42:B43"/>
    <mergeCell ref="A24:A28"/>
    <mergeCell ref="B25:B26"/>
    <mergeCell ref="B27:B28"/>
    <mergeCell ref="A29:A33"/>
    <mergeCell ref="B30:B31"/>
    <mergeCell ref="B32:B33"/>
    <mergeCell ref="A34:A38"/>
    <mergeCell ref="B35:B36"/>
    <mergeCell ref="B37:B38"/>
    <mergeCell ref="H15:H16"/>
    <mergeCell ref="H17:H18"/>
    <mergeCell ref="I15:I16"/>
    <mergeCell ref="I17:I18"/>
    <mergeCell ref="I30:I31"/>
    <mergeCell ref="I25:I26"/>
    <mergeCell ref="I27:I28"/>
    <mergeCell ref="H20:H21"/>
    <mergeCell ref="C6:K6"/>
    <mergeCell ref="C7:F7"/>
    <mergeCell ref="H7:K7"/>
    <mergeCell ref="C12:C13"/>
    <mergeCell ref="C10:C11"/>
    <mergeCell ref="D12:D13"/>
    <mergeCell ref="H10:H11"/>
    <mergeCell ref="H12:H13"/>
    <mergeCell ref="I12:I13"/>
    <mergeCell ref="D10:D11"/>
    <mergeCell ref="I10:I11"/>
    <mergeCell ref="A49:A53"/>
    <mergeCell ref="B50:B51"/>
    <mergeCell ref="C50:C51"/>
    <mergeCell ref="D50:D51"/>
    <mergeCell ref="H50:H51"/>
    <mergeCell ref="I45:I46"/>
    <mergeCell ref="B47:B48"/>
    <mergeCell ref="C47:C48"/>
    <mergeCell ref="D47:D48"/>
    <mergeCell ref="H47:H48"/>
    <mergeCell ref="I47:I48"/>
    <mergeCell ref="A44:A48"/>
    <mergeCell ref="B45:B46"/>
    <mergeCell ref="C45:C46"/>
    <mergeCell ref="D45:D46"/>
    <mergeCell ref="H45:H46"/>
    <mergeCell ref="C15:C16"/>
    <mergeCell ref="D15:D16"/>
    <mergeCell ref="B17:B18"/>
    <mergeCell ref="C17:C18"/>
    <mergeCell ref="D17:D18"/>
    <mergeCell ref="I50:I51"/>
    <mergeCell ref="B52:B53"/>
    <mergeCell ref="C52:C53"/>
    <mergeCell ref="D52:D53"/>
    <mergeCell ref="H52:H53"/>
    <mergeCell ref="I52:I53"/>
    <mergeCell ref="C20:C21"/>
    <mergeCell ref="C22:C23"/>
    <mergeCell ref="D22:D23"/>
    <mergeCell ref="C25:C26"/>
    <mergeCell ref="C27:C28"/>
    <mergeCell ref="D27:D28"/>
    <mergeCell ref="D20:D21"/>
    <mergeCell ref="C30:C31"/>
    <mergeCell ref="C32:C33"/>
    <mergeCell ref="H22:H23"/>
    <mergeCell ref="I20:I21"/>
    <mergeCell ref="I22:I23"/>
    <mergeCell ref="H25:H26"/>
  </mergeCells>
  <printOptions horizontalCentered="1" verticalCentered="1"/>
  <pageMargins left="0" right="0" top="0" bottom="0" header="0" footer="0"/>
  <pageSetup paperSize="9" scale="4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tabSelected="1" topLeftCell="A17" zoomScale="70" zoomScaleNormal="70" workbookViewId="0">
      <pane xSplit="1" topLeftCell="B1" activePane="topRight" state="frozen"/>
      <selection activeCell="A70" sqref="A70"/>
      <selection pane="topRight" activeCell="H25" sqref="H25:H26"/>
    </sheetView>
  </sheetViews>
  <sheetFormatPr baseColWidth="10" defaultRowHeight="15"/>
  <cols>
    <col min="1" max="1" width="21" style="1" customWidth="1"/>
    <col min="2" max="2" width="17.5703125" style="1" bestFit="1" customWidth="1"/>
    <col min="3" max="3" width="54.85546875" style="1" bestFit="1" customWidth="1"/>
    <col min="4" max="4" width="25.85546875" bestFit="1" customWidth="1"/>
    <col min="5" max="5" width="6.85546875" style="2" bestFit="1" customWidth="1"/>
    <col min="6" max="6" width="9.140625" bestFit="1" customWidth="1"/>
    <col min="7" max="7" width="1.28515625" customWidth="1"/>
    <col min="8" max="8" width="59.85546875" customWidth="1"/>
    <col min="9" max="9" width="25.85546875" bestFit="1" customWidth="1"/>
    <col min="10" max="10" width="6.85546875" bestFit="1" customWidth="1"/>
    <col min="11" max="11" width="7.5703125" bestFit="1" customWidth="1"/>
  </cols>
  <sheetData>
    <row r="1" spans="1:11" ht="36">
      <c r="A1" s="245" t="s">
        <v>135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36">
      <c r="A2" s="246" t="s">
        <v>136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</row>
    <row r="3" spans="1:11" ht="36">
      <c r="A3" s="246" t="s">
        <v>137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</row>
    <row r="4" spans="1:11" ht="46.5">
      <c r="A4" s="247" t="s">
        <v>177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</row>
    <row r="5" spans="1:11" ht="8.25" customHeight="1" thickBot="1"/>
    <row r="6" spans="1:11" ht="44.25" customHeight="1" thickBot="1">
      <c r="A6" s="7"/>
      <c r="B6" s="248" t="s">
        <v>10</v>
      </c>
      <c r="C6" s="251" t="s">
        <v>21</v>
      </c>
      <c r="D6" s="251"/>
      <c r="E6" s="251"/>
      <c r="F6" s="251"/>
      <c r="G6" s="251"/>
      <c r="H6" s="251"/>
      <c r="I6" s="251"/>
      <c r="J6" s="251"/>
      <c r="K6" s="252"/>
    </row>
    <row r="7" spans="1:11" ht="44.25" customHeight="1" thickBot="1">
      <c r="A7" s="7"/>
      <c r="B7" s="249"/>
      <c r="C7" s="251" t="s">
        <v>0</v>
      </c>
      <c r="D7" s="251"/>
      <c r="E7" s="251"/>
      <c r="F7" s="252"/>
      <c r="G7" s="68"/>
      <c r="H7" s="253" t="s">
        <v>178</v>
      </c>
      <c r="I7" s="251"/>
      <c r="J7" s="251"/>
      <c r="K7" s="252"/>
    </row>
    <row r="8" spans="1:11" ht="42.75" thickBot="1">
      <c r="A8" s="8"/>
      <c r="B8" s="250"/>
      <c r="C8" s="69" t="s">
        <v>5</v>
      </c>
      <c r="D8" s="65" t="s">
        <v>7</v>
      </c>
      <c r="E8" s="65" t="s">
        <v>8</v>
      </c>
      <c r="F8" s="65" t="s">
        <v>6</v>
      </c>
      <c r="G8" s="22"/>
      <c r="H8" s="67" t="s">
        <v>5</v>
      </c>
      <c r="I8" s="67" t="s">
        <v>7</v>
      </c>
      <c r="J8" s="65" t="s">
        <v>8</v>
      </c>
      <c r="K8" s="65" t="s">
        <v>6</v>
      </c>
    </row>
    <row r="9" spans="1:11" ht="32.1" customHeight="1">
      <c r="A9" s="223" t="s">
        <v>279</v>
      </c>
      <c r="B9" s="10" t="s">
        <v>11</v>
      </c>
      <c r="C9" s="18" t="s">
        <v>189</v>
      </c>
      <c r="D9" s="13" t="s">
        <v>190</v>
      </c>
      <c r="E9" s="13"/>
      <c r="F9" s="14"/>
      <c r="G9" s="5"/>
      <c r="H9" s="12"/>
      <c r="I9" s="13"/>
      <c r="J9" s="13"/>
      <c r="K9" s="14"/>
    </row>
    <row r="10" spans="1:11" ht="32.1" customHeight="1">
      <c r="A10" s="224"/>
      <c r="B10" s="226" t="s">
        <v>12</v>
      </c>
      <c r="C10" s="275" t="s">
        <v>207</v>
      </c>
      <c r="D10" s="232" t="s">
        <v>57</v>
      </c>
      <c r="E10" s="9"/>
      <c r="F10" s="15"/>
      <c r="G10" s="4"/>
      <c r="H10" s="280"/>
      <c r="I10" s="232"/>
      <c r="J10" s="9"/>
      <c r="K10" s="15"/>
    </row>
    <row r="11" spans="1:11" ht="32.1" customHeight="1">
      <c r="A11" s="224"/>
      <c r="B11" s="227"/>
      <c r="C11" s="275"/>
      <c r="D11" s="276"/>
      <c r="E11" s="9"/>
      <c r="F11" s="15"/>
      <c r="G11" s="19"/>
      <c r="H11" s="280"/>
      <c r="I11" s="276"/>
      <c r="J11" s="9"/>
      <c r="K11" s="15"/>
    </row>
    <row r="12" spans="1:11" ht="32.1" customHeight="1">
      <c r="A12" s="224"/>
      <c r="B12" s="226" t="s">
        <v>13</v>
      </c>
      <c r="C12" s="275" t="s">
        <v>214</v>
      </c>
      <c r="D12" s="278" t="s">
        <v>55</v>
      </c>
      <c r="E12" s="9"/>
      <c r="F12" s="15"/>
      <c r="G12" s="4"/>
      <c r="H12" s="280"/>
      <c r="I12" s="278"/>
      <c r="J12" s="9"/>
      <c r="K12" s="15"/>
    </row>
    <row r="13" spans="1:11" ht="32.1" customHeight="1" thickBot="1">
      <c r="A13" s="224"/>
      <c r="B13" s="227"/>
      <c r="C13" s="277"/>
      <c r="D13" s="279"/>
      <c r="E13" s="16"/>
      <c r="F13" s="17"/>
      <c r="G13" s="19"/>
      <c r="H13" s="281"/>
      <c r="I13" s="279"/>
      <c r="J13" s="16"/>
      <c r="K13" s="17"/>
    </row>
    <row r="14" spans="1:11" ht="42">
      <c r="A14" s="243" t="s">
        <v>276</v>
      </c>
      <c r="B14" s="11" t="s">
        <v>11</v>
      </c>
      <c r="C14" s="18" t="s">
        <v>188</v>
      </c>
      <c r="D14" s="13" t="s">
        <v>110</v>
      </c>
      <c r="E14" s="13"/>
      <c r="F14" s="14"/>
      <c r="G14" s="3"/>
      <c r="H14" s="318" t="s">
        <v>295</v>
      </c>
      <c r="I14" s="13" t="s">
        <v>88</v>
      </c>
      <c r="J14" s="13"/>
      <c r="K14" s="14"/>
    </row>
    <row r="15" spans="1:11" ht="32.1" customHeight="1">
      <c r="A15" s="244"/>
      <c r="B15" s="240" t="s">
        <v>12</v>
      </c>
      <c r="C15" s="282" t="s">
        <v>187</v>
      </c>
      <c r="D15" s="232" t="s">
        <v>31</v>
      </c>
      <c r="E15" s="9"/>
      <c r="F15" s="15"/>
      <c r="G15" s="4"/>
      <c r="H15" s="229" t="s">
        <v>295</v>
      </c>
      <c r="I15" s="232" t="s">
        <v>88</v>
      </c>
      <c r="J15" s="9"/>
      <c r="K15" s="15"/>
    </row>
    <row r="16" spans="1:11" ht="32.1" customHeight="1">
      <c r="A16" s="244"/>
      <c r="B16" s="241"/>
      <c r="C16" s="282"/>
      <c r="D16" s="276"/>
      <c r="E16" s="9"/>
      <c r="F16" s="15"/>
      <c r="G16" s="19"/>
      <c r="H16" s="294"/>
      <c r="I16" s="276"/>
      <c r="J16" s="9"/>
      <c r="K16" s="15"/>
    </row>
    <row r="17" spans="1:11" ht="32.1" customHeight="1">
      <c r="A17" s="244"/>
      <c r="B17" s="240" t="s">
        <v>13</v>
      </c>
      <c r="C17" s="275" t="s">
        <v>215</v>
      </c>
      <c r="D17" s="278" t="s">
        <v>98</v>
      </c>
      <c r="E17" s="9"/>
      <c r="F17" s="15"/>
      <c r="G17" s="4"/>
      <c r="H17" s="229" t="s">
        <v>295</v>
      </c>
      <c r="I17" s="278" t="s">
        <v>88</v>
      </c>
      <c r="J17" s="9"/>
      <c r="K17" s="15"/>
    </row>
    <row r="18" spans="1:11" ht="32.1" customHeight="1" thickBot="1">
      <c r="A18" s="244"/>
      <c r="B18" s="241"/>
      <c r="C18" s="277"/>
      <c r="D18" s="279"/>
      <c r="E18" s="16"/>
      <c r="F18" s="17"/>
      <c r="G18" s="19"/>
      <c r="H18" s="231"/>
      <c r="I18" s="279"/>
      <c r="J18" s="16"/>
      <c r="K18" s="17"/>
    </row>
    <row r="19" spans="1:11" ht="21">
      <c r="A19" s="235" t="s">
        <v>264</v>
      </c>
      <c r="B19" s="10" t="s">
        <v>11</v>
      </c>
      <c r="C19" s="70" t="s">
        <v>186</v>
      </c>
      <c r="D19" s="13" t="s">
        <v>31</v>
      </c>
      <c r="E19" s="13"/>
      <c r="F19" s="14"/>
      <c r="G19" s="3"/>
      <c r="H19" s="12"/>
      <c r="I19" s="13"/>
      <c r="J19" s="13"/>
      <c r="K19" s="14"/>
    </row>
    <row r="20" spans="1:11" ht="32.1" customHeight="1">
      <c r="A20" s="236"/>
      <c r="B20" s="226" t="s">
        <v>12</v>
      </c>
      <c r="C20" s="282" t="s">
        <v>133</v>
      </c>
      <c r="D20" s="232" t="s">
        <v>102</v>
      </c>
      <c r="E20" s="9"/>
      <c r="F20" s="15"/>
      <c r="G20" s="4"/>
      <c r="H20" s="229" t="s">
        <v>208</v>
      </c>
      <c r="I20" s="232" t="s">
        <v>54</v>
      </c>
      <c r="J20" s="9"/>
      <c r="K20" s="15"/>
    </row>
    <row r="21" spans="1:11" ht="32.1" customHeight="1">
      <c r="A21" s="236"/>
      <c r="B21" s="227"/>
      <c r="C21" s="282"/>
      <c r="D21" s="276"/>
      <c r="E21" s="9"/>
      <c r="F21" s="15"/>
      <c r="G21" s="19"/>
      <c r="H21" s="294"/>
      <c r="I21" s="276"/>
      <c r="J21" s="9"/>
      <c r="K21" s="15"/>
    </row>
    <row r="22" spans="1:11" ht="32.1" customHeight="1">
      <c r="A22" s="236"/>
      <c r="B22" s="226" t="s">
        <v>13</v>
      </c>
      <c r="C22" s="288" t="s">
        <v>219</v>
      </c>
      <c r="D22" s="278" t="s">
        <v>98</v>
      </c>
      <c r="E22" s="9"/>
      <c r="F22" s="15"/>
      <c r="G22" s="4"/>
      <c r="H22" s="229"/>
      <c r="I22" s="278"/>
      <c r="J22" s="9"/>
      <c r="K22" s="15"/>
    </row>
    <row r="23" spans="1:11" ht="32.1" customHeight="1" thickBot="1">
      <c r="A23" s="236"/>
      <c r="B23" s="228"/>
      <c r="C23" s="289"/>
      <c r="D23" s="279"/>
      <c r="E23" s="16"/>
      <c r="F23" s="17"/>
      <c r="G23" s="19"/>
      <c r="H23" s="294"/>
      <c r="I23" s="279"/>
      <c r="J23" s="16"/>
      <c r="K23" s="17"/>
    </row>
    <row r="24" spans="1:11" ht="32.1" customHeight="1">
      <c r="A24" s="243" t="s">
        <v>265</v>
      </c>
      <c r="B24" s="63" t="s">
        <v>11</v>
      </c>
      <c r="C24" s="18" t="s">
        <v>193</v>
      </c>
      <c r="D24" s="13" t="s">
        <v>190</v>
      </c>
      <c r="E24" s="13"/>
      <c r="F24" s="14"/>
      <c r="G24" s="3"/>
      <c r="H24" s="18"/>
      <c r="I24" s="13"/>
      <c r="J24" s="13"/>
      <c r="K24" s="14"/>
    </row>
    <row r="25" spans="1:11" ht="32.1" customHeight="1">
      <c r="A25" s="244"/>
      <c r="B25" s="240" t="s">
        <v>12</v>
      </c>
      <c r="C25" s="275" t="s">
        <v>209</v>
      </c>
      <c r="D25" s="232" t="s">
        <v>119</v>
      </c>
      <c r="E25" s="9"/>
      <c r="F25" s="15"/>
      <c r="G25" s="4"/>
      <c r="H25" s="280"/>
      <c r="I25" s="232"/>
      <c r="J25" s="9"/>
      <c r="K25" s="15"/>
    </row>
    <row r="26" spans="1:11" ht="32.1" customHeight="1">
      <c r="A26" s="244"/>
      <c r="B26" s="241"/>
      <c r="C26" s="275"/>
      <c r="D26" s="276"/>
      <c r="E26" s="9"/>
      <c r="F26" s="15"/>
      <c r="G26" s="19"/>
      <c r="H26" s="280"/>
      <c r="I26" s="276"/>
      <c r="J26" s="9"/>
      <c r="K26" s="15"/>
    </row>
    <row r="27" spans="1:11" ht="32.1" customHeight="1">
      <c r="A27" s="244"/>
      <c r="B27" s="240" t="s">
        <v>13</v>
      </c>
      <c r="C27" s="275" t="s">
        <v>217</v>
      </c>
      <c r="D27" s="278" t="s">
        <v>96</v>
      </c>
      <c r="E27" s="9"/>
      <c r="F27" s="15"/>
      <c r="G27" s="4"/>
      <c r="H27" s="280"/>
      <c r="I27" s="278"/>
      <c r="J27" s="9"/>
      <c r="K27" s="15"/>
    </row>
    <row r="28" spans="1:11" ht="32.1" customHeight="1" thickBot="1">
      <c r="A28" s="244"/>
      <c r="B28" s="241"/>
      <c r="C28" s="277"/>
      <c r="D28" s="279"/>
      <c r="E28" s="16"/>
      <c r="F28" s="17"/>
      <c r="G28" s="19"/>
      <c r="H28" s="281"/>
      <c r="I28" s="279"/>
      <c r="J28" s="16"/>
      <c r="K28" s="17"/>
    </row>
    <row r="29" spans="1:11" ht="32.1" customHeight="1">
      <c r="A29" s="223" t="s">
        <v>266</v>
      </c>
      <c r="B29" s="10" t="s">
        <v>11</v>
      </c>
      <c r="C29" s="18" t="s">
        <v>192</v>
      </c>
      <c r="D29" s="13" t="s">
        <v>84</v>
      </c>
      <c r="E29" s="13"/>
      <c r="F29" s="14"/>
      <c r="G29" s="3"/>
      <c r="H29" s="12" t="s">
        <v>191</v>
      </c>
      <c r="I29" s="13" t="s">
        <v>84</v>
      </c>
      <c r="J29" s="13"/>
      <c r="K29" s="14"/>
    </row>
    <row r="30" spans="1:11" ht="32.1" customHeight="1">
      <c r="A30" s="224"/>
      <c r="B30" s="226" t="s">
        <v>12</v>
      </c>
      <c r="C30" s="288" t="s">
        <v>210</v>
      </c>
      <c r="D30" s="292" t="s">
        <v>122</v>
      </c>
      <c r="E30" s="9"/>
      <c r="F30" s="15"/>
      <c r="G30" s="4"/>
      <c r="H30" s="280"/>
      <c r="I30" s="232"/>
      <c r="J30" s="9"/>
      <c r="K30" s="15"/>
    </row>
    <row r="31" spans="1:11" ht="32.1" customHeight="1">
      <c r="A31" s="224"/>
      <c r="B31" s="227"/>
      <c r="C31" s="288"/>
      <c r="D31" s="293"/>
      <c r="E31" s="9"/>
      <c r="F31" s="15"/>
      <c r="G31" s="19"/>
      <c r="H31" s="280"/>
      <c r="I31" s="276"/>
      <c r="J31" s="9"/>
      <c r="K31" s="15"/>
    </row>
    <row r="32" spans="1:11" ht="32.1" customHeight="1">
      <c r="A32" s="224"/>
      <c r="B32" s="226" t="s">
        <v>13</v>
      </c>
      <c r="C32" s="288" t="s">
        <v>218</v>
      </c>
      <c r="D32" s="290" t="s">
        <v>198</v>
      </c>
      <c r="E32" s="9"/>
      <c r="F32" s="15"/>
      <c r="G32" s="4"/>
      <c r="H32" s="280"/>
      <c r="I32" s="278"/>
      <c r="J32" s="9"/>
      <c r="K32" s="15"/>
    </row>
    <row r="33" spans="1:11" ht="32.1" customHeight="1" thickBot="1">
      <c r="A33" s="224"/>
      <c r="B33" s="227"/>
      <c r="C33" s="289"/>
      <c r="D33" s="291"/>
      <c r="E33" s="16"/>
      <c r="F33" s="17"/>
      <c r="G33" s="19"/>
      <c r="H33" s="281"/>
      <c r="I33" s="279"/>
      <c r="J33" s="16"/>
      <c r="K33" s="17"/>
    </row>
    <row r="34" spans="1:11" ht="32.1" customHeight="1">
      <c r="A34" s="243" t="s">
        <v>267</v>
      </c>
      <c r="B34" s="11" t="s">
        <v>11</v>
      </c>
      <c r="C34" s="18" t="s">
        <v>195</v>
      </c>
      <c r="D34" s="13" t="s">
        <v>275</v>
      </c>
      <c r="E34" s="13"/>
      <c r="F34" s="14"/>
      <c r="G34" s="3"/>
      <c r="H34" s="12"/>
      <c r="I34" s="13"/>
      <c r="J34" s="13"/>
      <c r="K34" s="14"/>
    </row>
    <row r="35" spans="1:11" ht="32.1" customHeight="1">
      <c r="A35" s="244"/>
      <c r="B35" s="240" t="s">
        <v>12</v>
      </c>
      <c r="C35" s="275" t="s">
        <v>211</v>
      </c>
      <c r="D35" s="232" t="s">
        <v>212</v>
      </c>
      <c r="E35" s="9"/>
      <c r="F35" s="15"/>
      <c r="G35" s="4"/>
      <c r="H35" s="280"/>
      <c r="I35" s="232"/>
      <c r="J35" s="9"/>
      <c r="K35" s="15"/>
    </row>
    <row r="36" spans="1:11" ht="32.1" customHeight="1">
      <c r="A36" s="244"/>
      <c r="B36" s="241"/>
      <c r="C36" s="275"/>
      <c r="D36" s="276"/>
      <c r="E36" s="9"/>
      <c r="F36" s="15"/>
      <c r="G36" s="19"/>
      <c r="H36" s="280"/>
      <c r="I36" s="276"/>
      <c r="J36" s="9"/>
      <c r="K36" s="15"/>
    </row>
    <row r="37" spans="1:11" ht="32.1" customHeight="1">
      <c r="A37" s="244"/>
      <c r="B37" s="240" t="s">
        <v>13</v>
      </c>
      <c r="C37" s="275" t="s">
        <v>216</v>
      </c>
      <c r="D37" s="278" t="s">
        <v>47</v>
      </c>
      <c r="E37" s="9"/>
      <c r="F37" s="15"/>
      <c r="G37" s="4"/>
      <c r="H37" s="280"/>
      <c r="I37" s="278"/>
      <c r="J37" s="9"/>
      <c r="K37" s="15"/>
    </row>
    <row r="38" spans="1:11" ht="32.1" customHeight="1" thickBot="1">
      <c r="A38" s="244"/>
      <c r="B38" s="241"/>
      <c r="C38" s="277"/>
      <c r="D38" s="279"/>
      <c r="E38" s="16"/>
      <c r="F38" s="17"/>
      <c r="G38" s="19"/>
      <c r="H38" s="281"/>
      <c r="I38" s="279"/>
      <c r="J38" s="16"/>
      <c r="K38" s="17"/>
    </row>
    <row r="39" spans="1:11" ht="32.1" customHeight="1">
      <c r="A39" s="223" t="s">
        <v>282</v>
      </c>
      <c r="B39" s="10" t="s">
        <v>11</v>
      </c>
      <c r="C39" s="18" t="s">
        <v>194</v>
      </c>
      <c r="D39" s="13" t="s">
        <v>275</v>
      </c>
      <c r="E39" s="13"/>
      <c r="F39" s="14"/>
      <c r="G39" s="3"/>
      <c r="H39" s="12"/>
      <c r="I39" s="13"/>
      <c r="J39" s="13"/>
      <c r="K39" s="14"/>
    </row>
    <row r="40" spans="1:11" ht="32.1" customHeight="1">
      <c r="A40" s="224"/>
      <c r="B40" s="226" t="s">
        <v>12</v>
      </c>
      <c r="C40" s="275" t="s">
        <v>213</v>
      </c>
      <c r="D40" s="232" t="s">
        <v>57</v>
      </c>
      <c r="E40" s="9"/>
      <c r="F40" s="15"/>
      <c r="G40" s="4"/>
      <c r="H40" s="280"/>
      <c r="I40" s="232"/>
      <c r="J40" s="9"/>
      <c r="K40" s="15"/>
    </row>
    <row r="41" spans="1:11" ht="32.1" customHeight="1">
      <c r="A41" s="224"/>
      <c r="B41" s="227"/>
      <c r="C41" s="275"/>
      <c r="D41" s="276"/>
      <c r="E41" s="9"/>
      <c r="F41" s="15"/>
      <c r="G41" s="19"/>
      <c r="H41" s="280"/>
      <c r="I41" s="276"/>
      <c r="J41" s="9"/>
      <c r="K41" s="15"/>
    </row>
    <row r="42" spans="1:11" ht="32.1" customHeight="1">
      <c r="A42" s="224"/>
      <c r="B42" s="226" t="s">
        <v>13</v>
      </c>
      <c r="C42" s="275" t="s">
        <v>220</v>
      </c>
      <c r="D42" s="278" t="s">
        <v>98</v>
      </c>
      <c r="E42" s="9"/>
      <c r="F42" s="15"/>
      <c r="G42" s="4"/>
      <c r="H42" s="280"/>
      <c r="I42" s="278"/>
      <c r="J42" s="9"/>
      <c r="K42" s="15"/>
    </row>
    <row r="43" spans="1:11" ht="32.1" customHeight="1" thickBot="1">
      <c r="A43" s="224"/>
      <c r="B43" s="227"/>
      <c r="C43" s="277"/>
      <c r="D43" s="279"/>
      <c r="E43" s="16"/>
      <c r="F43" s="17"/>
      <c r="G43" s="19"/>
      <c r="H43" s="281"/>
      <c r="I43" s="279"/>
      <c r="J43" s="16"/>
      <c r="K43" s="17"/>
    </row>
    <row r="44" spans="1:11" ht="32.1" customHeight="1">
      <c r="A44" s="243" t="s">
        <v>283</v>
      </c>
      <c r="B44" s="20" t="s">
        <v>11</v>
      </c>
      <c r="C44" s="18"/>
      <c r="D44" s="13"/>
      <c r="E44" s="13"/>
      <c r="F44" s="14"/>
      <c r="G44" s="66"/>
      <c r="H44" s="12"/>
      <c r="I44" s="13"/>
      <c r="J44" s="13"/>
      <c r="K44" s="14"/>
    </row>
    <row r="45" spans="1:11" ht="32.1" customHeight="1">
      <c r="A45" s="244"/>
      <c r="B45" s="240" t="s">
        <v>12</v>
      </c>
      <c r="C45" s="275"/>
      <c r="D45" s="232"/>
      <c r="E45" s="9"/>
      <c r="F45" s="15"/>
      <c r="G45" s="4"/>
      <c r="H45" s="280"/>
      <c r="I45" s="232"/>
      <c r="J45" s="9"/>
      <c r="K45" s="15"/>
    </row>
    <row r="46" spans="1:11" ht="32.1" customHeight="1">
      <c r="A46" s="244"/>
      <c r="B46" s="241"/>
      <c r="C46" s="275"/>
      <c r="D46" s="276"/>
      <c r="E46" s="9"/>
      <c r="F46" s="15"/>
      <c r="G46" s="19"/>
      <c r="H46" s="280"/>
      <c r="I46" s="276"/>
      <c r="J46" s="9"/>
      <c r="K46" s="15"/>
    </row>
    <row r="47" spans="1:11" ht="32.1" customHeight="1">
      <c r="A47" s="244"/>
      <c r="B47" s="240" t="s">
        <v>13</v>
      </c>
      <c r="C47" s="275" t="s">
        <v>221</v>
      </c>
      <c r="D47" s="278" t="s">
        <v>69</v>
      </c>
      <c r="E47" s="9"/>
      <c r="F47" s="15"/>
      <c r="G47" s="4"/>
      <c r="H47" s="280"/>
      <c r="I47" s="278"/>
      <c r="J47" s="9"/>
      <c r="K47" s="15"/>
    </row>
    <row r="48" spans="1:11" ht="32.1" customHeight="1" thickBot="1">
      <c r="A48" s="244"/>
      <c r="B48" s="242"/>
      <c r="C48" s="277"/>
      <c r="D48" s="279"/>
      <c r="E48" s="16"/>
      <c r="F48" s="17"/>
      <c r="G48" s="19"/>
      <c r="H48" s="281"/>
      <c r="I48" s="279"/>
      <c r="J48" s="16"/>
      <c r="K48" s="17"/>
    </row>
    <row r="49" spans="1:11" ht="15" customHeight="1">
      <c r="A49" s="243"/>
      <c r="B49" s="20"/>
      <c r="C49" s="18"/>
      <c r="D49" s="13"/>
      <c r="E49" s="13"/>
      <c r="F49" s="14"/>
      <c r="G49" s="66"/>
      <c r="H49" s="12"/>
      <c r="I49" s="13"/>
      <c r="J49" s="13"/>
      <c r="K49" s="14"/>
    </row>
    <row r="50" spans="1:11" ht="15.75" customHeight="1">
      <c r="A50" s="244"/>
      <c r="B50" s="240"/>
      <c r="C50" s="275"/>
      <c r="D50" s="232"/>
      <c r="E50" s="216"/>
      <c r="F50" s="15"/>
      <c r="G50" s="4"/>
      <c r="H50" s="280"/>
      <c r="I50" s="232"/>
      <c r="J50" s="216"/>
      <c r="K50" s="15"/>
    </row>
    <row r="51" spans="1:11" ht="21">
      <c r="A51" s="244"/>
      <c r="B51" s="241"/>
      <c r="C51" s="275"/>
      <c r="D51" s="276"/>
      <c r="E51" s="216"/>
      <c r="F51" s="15"/>
      <c r="G51" s="19"/>
      <c r="H51" s="280"/>
      <c r="I51" s="276"/>
      <c r="J51" s="216"/>
      <c r="K51" s="15"/>
    </row>
    <row r="52" spans="1:11" ht="21">
      <c r="A52" s="244"/>
      <c r="B52" s="240"/>
      <c r="C52" s="275"/>
      <c r="D52" s="278"/>
      <c r="E52" s="216"/>
      <c r="F52" s="15"/>
      <c r="G52" s="4"/>
      <c r="H52" s="280"/>
      <c r="I52" s="278"/>
      <c r="J52" s="216"/>
      <c r="K52" s="15"/>
    </row>
    <row r="53" spans="1:11" ht="21.75" thickBot="1">
      <c r="A53" s="244"/>
      <c r="B53" s="242"/>
      <c r="C53" s="277"/>
      <c r="D53" s="279"/>
      <c r="E53" s="217"/>
      <c r="F53" s="17"/>
      <c r="G53" s="19"/>
      <c r="H53" s="281"/>
      <c r="I53" s="279"/>
      <c r="J53" s="217"/>
      <c r="K53" s="17"/>
    </row>
  </sheetData>
  <mergeCells count="107">
    <mergeCell ref="A1:K1"/>
    <mergeCell ref="A2:K2"/>
    <mergeCell ref="A3:K3"/>
    <mergeCell ref="A4:K4"/>
    <mergeCell ref="B6:B8"/>
    <mergeCell ref="C6:K6"/>
    <mergeCell ref="C7:F7"/>
    <mergeCell ref="H7:K7"/>
    <mergeCell ref="I15:I16"/>
    <mergeCell ref="B17:B18"/>
    <mergeCell ref="C17:C18"/>
    <mergeCell ref="D17:D18"/>
    <mergeCell ref="A9:A13"/>
    <mergeCell ref="B10:B11"/>
    <mergeCell ref="C10:C11"/>
    <mergeCell ref="D10:D11"/>
    <mergeCell ref="H10:H11"/>
    <mergeCell ref="I10:I11"/>
    <mergeCell ref="H17:H18"/>
    <mergeCell ref="I17:I18"/>
    <mergeCell ref="A14:A18"/>
    <mergeCell ref="B15:B16"/>
    <mergeCell ref="C15:C16"/>
    <mergeCell ref="D15:D16"/>
    <mergeCell ref="H15:H16"/>
    <mergeCell ref="B12:B13"/>
    <mergeCell ref="C12:C13"/>
    <mergeCell ref="D12:D13"/>
    <mergeCell ref="H12:H13"/>
    <mergeCell ref="I12:I13"/>
    <mergeCell ref="A24:A28"/>
    <mergeCell ref="B25:B26"/>
    <mergeCell ref="C25:C26"/>
    <mergeCell ref="D25:D26"/>
    <mergeCell ref="H25:H26"/>
    <mergeCell ref="I20:I21"/>
    <mergeCell ref="B22:B23"/>
    <mergeCell ref="C22:C23"/>
    <mergeCell ref="D22:D23"/>
    <mergeCell ref="H22:H23"/>
    <mergeCell ref="I22:I23"/>
    <mergeCell ref="A19:A23"/>
    <mergeCell ref="B20:B21"/>
    <mergeCell ref="C20:C21"/>
    <mergeCell ref="D20:D21"/>
    <mergeCell ref="H20:H21"/>
    <mergeCell ref="B30:B31"/>
    <mergeCell ref="C30:C31"/>
    <mergeCell ref="D30:D31"/>
    <mergeCell ref="H30:H31"/>
    <mergeCell ref="I25:I26"/>
    <mergeCell ref="B27:B28"/>
    <mergeCell ref="C27:C28"/>
    <mergeCell ref="D27:D28"/>
    <mergeCell ref="H27:H28"/>
    <mergeCell ref="I27:I28"/>
    <mergeCell ref="I37:I38"/>
    <mergeCell ref="H40:H41"/>
    <mergeCell ref="I40:I41"/>
    <mergeCell ref="B42:B43"/>
    <mergeCell ref="C42:C43"/>
    <mergeCell ref="D42:D43"/>
    <mergeCell ref="H42:H43"/>
    <mergeCell ref="I30:I31"/>
    <mergeCell ref="A34:A38"/>
    <mergeCell ref="B35:B36"/>
    <mergeCell ref="C35:C36"/>
    <mergeCell ref="D35:D36"/>
    <mergeCell ref="H35:H36"/>
    <mergeCell ref="B32:B33"/>
    <mergeCell ref="C32:C33"/>
    <mergeCell ref="D32:D33"/>
    <mergeCell ref="H32:H33"/>
    <mergeCell ref="I32:I33"/>
    <mergeCell ref="I35:I36"/>
    <mergeCell ref="B37:B38"/>
    <mergeCell ref="C37:C38"/>
    <mergeCell ref="D37:D38"/>
    <mergeCell ref="H37:H38"/>
    <mergeCell ref="A29:A33"/>
    <mergeCell ref="H47:H48"/>
    <mergeCell ref="I47:I48"/>
    <mergeCell ref="I42:I43"/>
    <mergeCell ref="A44:A48"/>
    <mergeCell ref="B45:B46"/>
    <mergeCell ref="C45:C46"/>
    <mergeCell ref="D45:D46"/>
    <mergeCell ref="H45:H46"/>
    <mergeCell ref="I45:I46"/>
    <mergeCell ref="B47:B48"/>
    <mergeCell ref="C47:C48"/>
    <mergeCell ref="D47:D48"/>
    <mergeCell ref="A39:A43"/>
    <mergeCell ref="B40:B41"/>
    <mergeCell ref="C40:C41"/>
    <mergeCell ref="D40:D41"/>
    <mergeCell ref="I50:I51"/>
    <mergeCell ref="B52:B53"/>
    <mergeCell ref="C52:C53"/>
    <mergeCell ref="D52:D53"/>
    <mergeCell ref="H52:H53"/>
    <mergeCell ref="I52:I53"/>
    <mergeCell ref="A49:A53"/>
    <mergeCell ref="B50:B51"/>
    <mergeCell ref="C50:C51"/>
    <mergeCell ref="D50:D51"/>
    <mergeCell ref="H50:H51"/>
  </mergeCells>
  <printOptions horizontalCentered="1" verticalCentered="1"/>
  <pageMargins left="0" right="0" top="0" bottom="0" header="0" footer="0"/>
  <pageSetup paperSize="9" scale="4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20"/>
  <sheetViews>
    <sheetView zoomScale="80" zoomScaleNormal="80" workbookViewId="0">
      <selection activeCell="E5" sqref="E5:G5"/>
    </sheetView>
  </sheetViews>
  <sheetFormatPr baseColWidth="10" defaultRowHeight="15"/>
  <cols>
    <col min="2" max="2" width="15.28515625" style="7" customWidth="1"/>
    <col min="3" max="3" width="18.7109375" style="7" customWidth="1"/>
    <col min="4" max="4" width="9.7109375" customWidth="1"/>
    <col min="5" max="5" width="16.7109375" customWidth="1"/>
    <col min="6" max="6" width="16" bestFit="1" customWidth="1"/>
    <col min="7" max="7" width="18.7109375" style="7" customWidth="1"/>
    <col min="8" max="8" width="9.7109375" customWidth="1"/>
    <col min="9" max="9" width="16.7109375" customWidth="1"/>
    <col min="10" max="10" width="13.28515625" customWidth="1"/>
    <col min="11" max="11" width="18.7109375" style="7" customWidth="1"/>
    <col min="12" max="12" width="9.7109375" customWidth="1"/>
    <col min="13" max="13" width="16.7109375" customWidth="1"/>
    <col min="14" max="14" width="13.7109375" bestFit="1" customWidth="1"/>
    <col min="15" max="15" width="18.7109375" style="7" customWidth="1"/>
    <col min="16" max="16" width="9.7109375" customWidth="1"/>
    <col min="17" max="17" width="16.7109375" customWidth="1"/>
    <col min="18" max="18" width="10.7109375" customWidth="1"/>
  </cols>
  <sheetData>
    <row r="1" spans="2:32" ht="21.75" customHeight="1">
      <c r="B1" s="295" t="s">
        <v>146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188"/>
      <c r="P1" s="188"/>
      <c r="Q1" s="188"/>
      <c r="R1" s="188"/>
    </row>
    <row r="2" spans="2:32" ht="17.25" customHeight="1">
      <c r="B2" s="302" t="s">
        <v>147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189"/>
      <c r="P2" s="189"/>
      <c r="Q2" s="189"/>
      <c r="R2" s="189"/>
    </row>
    <row r="3" spans="2:32" ht="23.25" customHeight="1">
      <c r="B3" s="302" t="s">
        <v>148</v>
      </c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189"/>
      <c r="P3" s="189"/>
      <c r="Q3" s="189"/>
      <c r="R3" s="189"/>
    </row>
    <row r="4" spans="2:32" ht="33.75" customHeight="1">
      <c r="B4" s="296" t="s">
        <v>253</v>
      </c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190"/>
      <c r="P4" s="190"/>
      <c r="Q4" s="190"/>
      <c r="R4" s="190"/>
    </row>
    <row r="5" spans="2:32" ht="28.5">
      <c r="B5" s="305" t="s">
        <v>144</v>
      </c>
      <c r="C5" s="305"/>
      <c r="D5" s="305"/>
      <c r="E5" s="306" t="s">
        <v>273</v>
      </c>
      <c r="F5" s="306"/>
      <c r="G5" s="186"/>
      <c r="H5" s="187"/>
      <c r="I5" s="187"/>
      <c r="J5" s="187"/>
      <c r="K5" s="304" t="s">
        <v>255</v>
      </c>
      <c r="L5" s="304"/>
      <c r="M5" s="304"/>
      <c r="N5" s="171">
        <f>AC10+AD10+AE10+AF10</f>
        <v>4</v>
      </c>
    </row>
    <row r="6" spans="2:32" ht="9.75" customHeight="1" thickBot="1"/>
    <row r="7" spans="2:32" ht="24.95" customHeight="1">
      <c r="B7" s="191"/>
      <c r="C7" s="299" t="s">
        <v>0</v>
      </c>
      <c r="D7" s="300"/>
      <c r="E7" s="300"/>
      <c r="F7" s="301"/>
      <c r="G7" s="299" t="s">
        <v>224</v>
      </c>
      <c r="H7" s="300"/>
      <c r="I7" s="300"/>
      <c r="J7" s="301"/>
      <c r="K7" s="299" t="s">
        <v>178</v>
      </c>
      <c r="L7" s="300"/>
      <c r="M7" s="300"/>
      <c r="N7" s="301"/>
      <c r="O7" s="303"/>
      <c r="P7" s="303"/>
      <c r="Q7" s="303"/>
      <c r="R7" s="303"/>
    </row>
    <row r="8" spans="2:32" ht="27.75" customHeight="1" thickBot="1">
      <c r="B8" s="192"/>
      <c r="C8" s="210" t="s">
        <v>143</v>
      </c>
      <c r="D8" s="211" t="s">
        <v>6</v>
      </c>
      <c r="E8" s="211" t="s">
        <v>7</v>
      </c>
      <c r="F8" s="212" t="s">
        <v>10</v>
      </c>
      <c r="G8" s="213" t="s">
        <v>143</v>
      </c>
      <c r="H8" s="214" t="s">
        <v>6</v>
      </c>
      <c r="I8" s="214" t="s">
        <v>7</v>
      </c>
      <c r="J8" s="215" t="s">
        <v>10</v>
      </c>
      <c r="K8" s="213" t="s">
        <v>143</v>
      </c>
      <c r="L8" s="214" t="s">
        <v>6</v>
      </c>
      <c r="M8" s="214" t="s">
        <v>7</v>
      </c>
      <c r="N8" s="215" t="s">
        <v>10</v>
      </c>
      <c r="O8" s="184"/>
      <c r="P8" s="184"/>
      <c r="Q8" s="184"/>
      <c r="R8" s="184"/>
    </row>
    <row r="9" spans="2:32" ht="48" customHeight="1" thickBot="1">
      <c r="B9" s="193" t="s">
        <v>279</v>
      </c>
      <c r="C9" s="201" t="str">
        <f>IFERROR(VLOOKUP($E$5,Mardi_1_8h30,2,FALSE),"")</f>
        <v/>
      </c>
      <c r="D9" s="202" t="str">
        <f>IFERROR(VLOOKUP($E$5,Mardi_1_8h30,5,FALSE),"")</f>
        <v/>
      </c>
      <c r="E9" s="202" t="str">
        <f>IFERROR(VLOOKUP($E$5,Mardi_1_8h30,3,FALSE),"")</f>
        <v/>
      </c>
      <c r="F9" s="203" t="str">
        <f>IFERROR(VLOOKUP($E$5,Mardi_1_8h30,7,FALSE),"")</f>
        <v/>
      </c>
      <c r="G9" s="201" t="str">
        <f>IFERROR(VLOOKUP($E$5,Mardi_1_11h00,2,FALSE),"")</f>
        <v/>
      </c>
      <c r="H9" s="202" t="str">
        <f>IFERROR(VLOOKUP($E$5,Mardi_1_11h00,5,FALSE),"")</f>
        <v/>
      </c>
      <c r="I9" s="202" t="str">
        <f>IFERROR(VLOOKUP($E$5,Mardi_1_11h00,3,FALSE),"")</f>
        <v/>
      </c>
      <c r="J9" s="203" t="str">
        <f>IFERROR(VLOOKUP($E$5,Mardi_1_11h00,7,FALSE),"")</f>
        <v/>
      </c>
      <c r="K9" s="201" t="str">
        <f>IFERROR(VLOOKUP($E$5,Mardi_1_13h00,2,FALSE),"")</f>
        <v/>
      </c>
      <c r="L9" s="202" t="str">
        <f>IFERROR(VLOOKUP($E$5,Mardi_1_13h00,5,FALSE),"")</f>
        <v/>
      </c>
      <c r="M9" s="202" t="str">
        <f>IFERROR(VLOOKUP($E$5,Mardi_1_13h00,3,FALSE),"")</f>
        <v/>
      </c>
      <c r="N9" s="203" t="str">
        <f>IFERROR(VLOOKUP($E$5,Mardi_1_13h00,7,FALSE),"")</f>
        <v/>
      </c>
      <c r="O9" s="185" t="str">
        <f>IFERROR(VLOOKUP($E$5,Mardi_1_14h30,2,FALSE),"")</f>
        <v/>
      </c>
      <c r="P9" s="185" t="str">
        <f>IFERROR(VLOOKUP($E$5,Mardi_1_14h30,5,FALSE),"")</f>
        <v/>
      </c>
      <c r="Q9" s="185"/>
      <c r="R9" s="185" t="str">
        <f>IFERROR(VLOOKUP($E$5,Mardi_1_14h30,7,FALSE),"")</f>
        <v/>
      </c>
      <c r="AC9" s="2" t="s">
        <v>256</v>
      </c>
      <c r="AD9" s="2" t="s">
        <v>257</v>
      </c>
      <c r="AE9" s="2" t="s">
        <v>258</v>
      </c>
      <c r="AF9" s="2" t="s">
        <v>259</v>
      </c>
    </row>
    <row r="10" spans="2:32" ht="48" customHeight="1" thickBot="1">
      <c r="B10" s="194" t="s">
        <v>276</v>
      </c>
      <c r="C10" s="204" t="str">
        <f>IFERROR(VLOOKUP($E$5,Mercredi_1_8h30,2,FALSE),"")</f>
        <v>Système hydrauliques et pneumatiques</v>
      </c>
      <c r="D10" s="205" t="str">
        <f>IFERROR(VLOOKUP($E$5,Mercredi_1_8h30,5,FALSE),"")</f>
        <v>Amphi 3</v>
      </c>
      <c r="E10" s="205" t="str">
        <f>IFERROR(VLOOKUP($E$5,Mercredi_1_8h30,3,FALSE),"")</f>
        <v>N.Chouchane</v>
      </c>
      <c r="F10" s="206" t="str">
        <f>IFERROR(VLOOKUP($E$5,Mercredi_1_8h30,7,FALSE),"")</f>
        <v>L3 Construction</v>
      </c>
      <c r="G10" s="204" t="str">
        <f>IFERROR(VLOOKUP($E$5,Mercredi_1_11h00,2,FALSE),"")</f>
        <v/>
      </c>
      <c r="H10" s="205" t="str">
        <f>IFERROR(VLOOKUP($E$5,Mercredi_1_11h00,5,FALSE),"")</f>
        <v/>
      </c>
      <c r="I10" s="205" t="str">
        <f>IFERROR(VLOOKUP($E$5,Mercredi_1_11h00,3,FALSE),"")</f>
        <v/>
      </c>
      <c r="J10" s="206" t="str">
        <f>IFERROR(VLOOKUP($E$5,Mercredi_1_11h00,7,FALSE),"")</f>
        <v/>
      </c>
      <c r="K10" s="204" t="str">
        <f>IFERROR(VLOOKUP($E$5,Mercredi_1_13h00,2,FALSE),"")</f>
        <v/>
      </c>
      <c r="L10" s="205" t="str">
        <f>IFERROR(VLOOKUP($E$5,Mercredi_1_13h00,5,FALSE),"")</f>
        <v/>
      </c>
      <c r="M10" s="205" t="str">
        <f>IFERROR(VLOOKUP($E$5,Mercredi_1_13h00,3,FALSE),"")</f>
        <v/>
      </c>
      <c r="N10" s="206" t="str">
        <f>IFERROR(VLOOKUP($E$5,Mercredi_1_13h00,7,FALSE),"")</f>
        <v/>
      </c>
      <c r="O10" s="185" t="str">
        <f>IFERROR(VLOOKUP($E$5,Mercredi_1_14h30,2,FALSE),"")</f>
        <v/>
      </c>
      <c r="P10" s="185" t="str">
        <f>IFERROR(VLOOKUP($E$5,Mercredi_1_14h30,5,FALSE),"")</f>
        <v/>
      </c>
      <c r="Q10" s="185"/>
      <c r="R10" s="185" t="str">
        <f>IFERROR(VLOOKUP($E$5,Mercredi_1_14h30,7,FALSE),"")</f>
        <v/>
      </c>
      <c r="AC10" s="2">
        <f>((COUNTA(Zone1)))-(COUNTIF(Zone1,""))</f>
        <v>4</v>
      </c>
      <c r="AD10" s="2">
        <f>((COUNTA(Zone_2)))-(COUNTIF(Zone_2,""))</f>
        <v>0</v>
      </c>
      <c r="AE10" s="2">
        <f>((COUNTA(Zone_3)))-(COUNTIF(Zone_3,""))</f>
        <v>0</v>
      </c>
      <c r="AF10" s="2">
        <f>((COUNTA(Zone_4)))-(COUNTIF(Zone_4,""))</f>
        <v>0</v>
      </c>
    </row>
    <row r="11" spans="2:32" ht="48" customHeight="1" thickBot="1">
      <c r="B11" s="195" t="s">
        <v>264</v>
      </c>
      <c r="C11" s="201" t="str">
        <f>IFERROR(VLOOKUP($E$5,Jeudi_8h30,2,FALSE),"")</f>
        <v>Combustion</v>
      </c>
      <c r="D11" s="202" t="str">
        <f>IFERROR(VLOOKUP($E$5,Jeudi_8h30,5,FALSE),"")</f>
        <v>S29</v>
      </c>
      <c r="E11" s="202" t="str">
        <f>IFERROR(VLOOKUP($E$5,Jeudi_8h30,3,FALSE),"")</f>
        <v>A.Moummi</v>
      </c>
      <c r="F11" s="203" t="str">
        <f>IFERROR(VLOOKUP($E$5,Jeudi_8h30,7,FALSE),"")</f>
        <v>M1 Energétique</v>
      </c>
      <c r="G11" s="201" t="str">
        <f>IFERROR(VLOOKUP($E$5,Jeudi_11h00,2,FALSE),"")</f>
        <v/>
      </c>
      <c r="H11" s="202" t="str">
        <f>IFERROR(VLOOKUP($E$5,Jeudi_11h00,5,FALSE),"")</f>
        <v/>
      </c>
      <c r="I11" s="202" t="str">
        <f>IFERROR(VLOOKUP($E$5,Jeudi_11h00,3,FALSE),"")</f>
        <v/>
      </c>
      <c r="J11" s="203" t="str">
        <f>IFERROR(VLOOKUP($E$5,Jeudi_11h00,7,FALSE),"")</f>
        <v/>
      </c>
      <c r="K11" s="201" t="str">
        <f>IFERROR(VLOOKUP($E$5,Jeudi_13h00,2,FALSE),"")</f>
        <v/>
      </c>
      <c r="L11" s="202" t="str">
        <f>IFERROR(VLOOKUP($E$5,Jeudi_13h00,5,FALSE),"")</f>
        <v/>
      </c>
      <c r="M11" s="202" t="str">
        <f>IFERROR(VLOOKUP($E$5,Jeudi_13h00,3,FALSE),"")</f>
        <v/>
      </c>
      <c r="N11" s="203" t="str">
        <f>IFERROR(VLOOKUP($E$5,Jeudi_13h00,7,FALSE),"")</f>
        <v/>
      </c>
      <c r="O11" s="185" t="str">
        <f>IFERROR(VLOOKUP($E$5,Jeudi_14h30,2,FALSE),"")</f>
        <v/>
      </c>
      <c r="P11" s="185" t="str">
        <f>IFERROR(VLOOKUP($E$5,Jeudi_14h30,5,FALSE),"")</f>
        <v/>
      </c>
      <c r="Q11" s="185"/>
      <c r="R11" s="185" t="str">
        <f>IFERROR(VLOOKUP($E$5,Jeudi_14h30,7,FALSE),"")</f>
        <v/>
      </c>
    </row>
    <row r="12" spans="2:32" ht="48" customHeight="1" thickBot="1">
      <c r="B12" s="196" t="s">
        <v>294</v>
      </c>
      <c r="C12" s="204" t="str">
        <f>IFERROR(VLOOKUP($E$5,Samedi_8h30,2,FALSE),"")</f>
        <v/>
      </c>
      <c r="D12" s="205" t="str">
        <f>IFERROR(VLOOKUP($E$5,Samedi_8h30,5,FALSE),"")</f>
        <v/>
      </c>
      <c r="E12" s="205" t="str">
        <f>IFERROR(VLOOKUP($E$5,Samedi_8h30,3,FALSE),"")</f>
        <v/>
      </c>
      <c r="F12" s="206" t="str">
        <f>IFERROR(VLOOKUP($E$5,Samedi_8h30,7,FALSE),"")</f>
        <v/>
      </c>
      <c r="G12" s="204" t="str">
        <f>IFERROR(VLOOKUP($E$5,Samedi_11h00,2,FALSE),"")</f>
        <v/>
      </c>
      <c r="H12" s="205" t="str">
        <f>IFERROR(VLOOKUP($E$5,Samedi_11h00,5,FALSE),"")</f>
        <v/>
      </c>
      <c r="I12" s="205" t="str">
        <f>IFERROR(VLOOKUP($E$5,Samedi_11h00,3,FALSE),"")</f>
        <v/>
      </c>
      <c r="J12" s="206" t="str">
        <f>IFERROR(VLOOKUP($E$5,Samedi_11h00,7,FALSE),"")</f>
        <v/>
      </c>
      <c r="K12" s="204" t="str">
        <f>IFERROR(VLOOKUP($E$5,Samedi_13h00,2,FALSE),"")</f>
        <v/>
      </c>
      <c r="L12" s="205" t="str">
        <f>IFERROR(VLOOKUP($E$5,Samedi_13h00,5,FALSE),"")</f>
        <v/>
      </c>
      <c r="M12" s="205" t="str">
        <f>IFERROR(VLOOKUP($E$5,Samedi_13h00,3,FALSE),"")</f>
        <v/>
      </c>
      <c r="N12" s="206" t="str">
        <f>IFERROR(VLOOKUP($E$5,Samedi_13h00,7,FALSE),"")</f>
        <v/>
      </c>
      <c r="O12" s="185" t="str">
        <f>IFERROR(VLOOKUP($E$5,Samedi_14h30,2,FALSE),"")</f>
        <v/>
      </c>
      <c r="P12" s="185" t="str">
        <f>IFERROR(VLOOKUP($E$5,Samedi_14h30,5,FALSE),"")</f>
        <v/>
      </c>
      <c r="Q12" s="185"/>
      <c r="R12" s="185" t="str">
        <f>IFERROR(VLOOKUP($E$5,Samedi_14h30,7,FALSE),"")</f>
        <v/>
      </c>
    </row>
    <row r="13" spans="2:32" ht="48" customHeight="1" thickBot="1">
      <c r="B13" s="195" t="s">
        <v>266</v>
      </c>
      <c r="C13" s="201" t="str">
        <f>IFERROR(VLOOKUP($E$5,Dimanche_8h30,2,FALSE),"")</f>
        <v/>
      </c>
      <c r="D13" s="202" t="str">
        <f>IFERROR(VLOOKUP($E$5,Dimanche_8h30,5,FALSE),"")</f>
        <v/>
      </c>
      <c r="E13" s="202" t="str">
        <f>IFERROR(VLOOKUP($E$5,Dimanche_8h30,3,FALSE),"")</f>
        <v/>
      </c>
      <c r="F13" s="203" t="str">
        <f>IFERROR(VLOOKUP($E$5,Dimanche_8h30,7,FALSE),"")</f>
        <v/>
      </c>
      <c r="G13" s="201" t="str">
        <f>IFERROR(VLOOKUP($E$5,Dimanche_11h00,2,FALSE),"")</f>
        <v/>
      </c>
      <c r="H13" s="202" t="str">
        <f>IFERROR(VLOOKUP($E$5,Dimanche_11h00,5,FALSE),"")</f>
        <v/>
      </c>
      <c r="I13" s="202" t="str">
        <f>IFERROR(VLOOKUP($E$5,Dimanche_11h00,3,FALSE),"")</f>
        <v/>
      </c>
      <c r="J13" s="203" t="str">
        <f>IFERROR(VLOOKUP($E$5,Dimanche_11h00,7,FALSE),"")</f>
        <v/>
      </c>
      <c r="K13" s="201" t="str">
        <f>IFERROR(VLOOKUP($E$5,Dimanche_13h00,2,FALSE),"")</f>
        <v/>
      </c>
      <c r="L13" s="202" t="str">
        <f>IFERROR(VLOOKUP($E$5,Dimanche_13h00,5,FALSE),"")</f>
        <v/>
      </c>
      <c r="M13" s="202" t="str">
        <f>IFERROR(VLOOKUP($E$5,Dimanche_13h00,3,FALSE),"")</f>
        <v/>
      </c>
      <c r="N13" s="203" t="str">
        <f>IFERROR(VLOOKUP($E$5,Dimanche_13h00,7,FALSE),"")</f>
        <v/>
      </c>
      <c r="O13" s="185" t="str">
        <f>IFERROR(VLOOKUP($E$5,Dimanche_14h30,2,FALSE),"")</f>
        <v/>
      </c>
      <c r="P13" s="185" t="str">
        <f>IFERROR(VLOOKUP($E$5,Dimanche_14h30,5,FALSE),"")</f>
        <v/>
      </c>
      <c r="Q13" s="185"/>
      <c r="R13" s="185" t="str">
        <f>IFERROR(VLOOKUP($E$5,Dimanche_14h30,7,FALSE),"")</f>
        <v/>
      </c>
    </row>
    <row r="14" spans="2:32" ht="48" customHeight="1" thickBot="1">
      <c r="B14" s="196" t="s">
        <v>267</v>
      </c>
      <c r="C14" s="204" t="str">
        <f>IFERROR(VLOOKUP($E$5,Lundi_8h30,2,FALSE),"")</f>
        <v/>
      </c>
      <c r="D14" s="205" t="str">
        <f>IFERROR(VLOOKUP($E$5,Lundi_8h30,5,FALSE),"")</f>
        <v/>
      </c>
      <c r="E14" s="205" t="str">
        <f>IFERROR(VLOOKUP($E$5,Lundi_8h30,3,FALSE),"")</f>
        <v/>
      </c>
      <c r="F14" s="206" t="str">
        <f>IFERROR(VLOOKUP($E$5,Lundi_8h30,7,FALSE),"")</f>
        <v/>
      </c>
      <c r="G14" s="204" t="str">
        <f>IFERROR(VLOOKUP($E$5,Lundi_11h00,2,FALSE),"")</f>
        <v/>
      </c>
      <c r="H14" s="205" t="str">
        <f>IFERROR(VLOOKUP($E$5,Lundi_11h00,5,FALSE),"")</f>
        <v/>
      </c>
      <c r="I14" s="205" t="str">
        <f>IFERROR(VLOOKUP($E$5,Lundi_11h00,3,FALSE),"")</f>
        <v/>
      </c>
      <c r="J14" s="206" t="str">
        <f>IFERROR(VLOOKUP($E$5,Lundi_11h00,7,FALSE),"")</f>
        <v/>
      </c>
      <c r="K14" s="204" t="str">
        <f>IFERROR(VLOOKUP($E$5,Lundi_13h00,2,FALSE),"")</f>
        <v/>
      </c>
      <c r="L14" s="205" t="str">
        <f>IFERROR(VLOOKUP($E$5,Lundi_13h00,5,FALSE),"")</f>
        <v/>
      </c>
      <c r="M14" s="205" t="str">
        <f>IFERROR(VLOOKUP($E$5,Lundi_13h00,3,FALSE),"")</f>
        <v/>
      </c>
      <c r="N14" s="206" t="str">
        <f>IFERROR(VLOOKUP($E$5,Lundi_13h00,7,FALSE),"")</f>
        <v/>
      </c>
      <c r="O14" s="185" t="str">
        <f>IFERROR(VLOOKUP($E$5,Lundi_14h30,2,FALSE),"")</f>
        <v/>
      </c>
      <c r="P14" s="185" t="str">
        <f>IFERROR(VLOOKUP($E$5,Lundi_14h30,5,FALSE),"")</f>
        <v/>
      </c>
      <c r="Q14" s="185"/>
      <c r="R14" s="185" t="str">
        <f>IFERROR(VLOOKUP($E$5,Lundi_14h30,7,FALSE),"")</f>
        <v/>
      </c>
    </row>
    <row r="15" spans="2:32" ht="48" customHeight="1" thickBot="1">
      <c r="B15" s="197" t="s">
        <v>268</v>
      </c>
      <c r="C15" s="201" t="str">
        <f>IFERROR(VLOOKUP($E$5,Mardi_2_8h30,2,FALSE),"")</f>
        <v>Machines frigorifique et pompes à chaleur</v>
      </c>
      <c r="D15" s="202">
        <f>IFERROR(VLOOKUP($E$5,Mardi_2_8h30,5,FALSE),"")</f>
        <v>0</v>
      </c>
      <c r="E15" s="202" t="str">
        <f>IFERROR(VLOOKUP($E$5,Mardi_2_8h30,3,FALSE),"")</f>
        <v>O.Hamdi</v>
      </c>
      <c r="F15" s="203" t="str">
        <f>IFERROR(VLOOKUP($E$5,Mardi_2_8h30,7,FALSE),"")</f>
        <v>L3 Energétique</v>
      </c>
      <c r="G15" s="201" t="str">
        <f>IFERROR(VLOOKUP($E$5,Mardi_2_11h00,2,FALSE),"")</f>
        <v/>
      </c>
      <c r="H15" s="202" t="str">
        <f>IFERROR(VLOOKUP($E$5,Mardi_2_11h00,5,FALSE),"")</f>
        <v/>
      </c>
      <c r="I15" s="202" t="str">
        <f>IFERROR(VLOOKUP($E$5,Mardi_2_11h00,3,FALSE),"")</f>
        <v/>
      </c>
      <c r="J15" s="203" t="str">
        <f>IFERROR(VLOOKUP($E$5,Mardi_2_11h00,7,FALSE),"")</f>
        <v/>
      </c>
      <c r="K15" s="201" t="str">
        <f>IFERROR(VLOOKUP($E$5,Mardi_2_13h00,2,FALSE),"")</f>
        <v/>
      </c>
      <c r="L15" s="202" t="str">
        <f>IFERROR(VLOOKUP($E$5,Mardi_2_13h00,5,FALSE),"")</f>
        <v/>
      </c>
      <c r="M15" s="202" t="str">
        <f>IFERROR(VLOOKUP($E$5,Mardi_2_13h00,3,FALSE),"")</f>
        <v/>
      </c>
      <c r="N15" s="203" t="str">
        <f>IFERROR(VLOOKUP($E$5,Mardi_2_13h00,7,FALSE),"")</f>
        <v/>
      </c>
      <c r="O15" s="185" t="str">
        <f>IFERROR(VLOOKUP($E$5,Mardi_2_14h30,2,FALSE),"")</f>
        <v/>
      </c>
      <c r="P15" s="185" t="str">
        <f>IFERROR(VLOOKUP($E$5,Mardi_2_14h30,5,FALSE),"")</f>
        <v/>
      </c>
      <c r="Q15" s="185"/>
      <c r="R15" s="185" t="str">
        <f>IFERROR(VLOOKUP($E$5,Mardi_2_14h30,7,FALSE),"")</f>
        <v/>
      </c>
    </row>
    <row r="16" spans="2:32" ht="48" customHeight="1" thickBot="1">
      <c r="B16" s="198" t="s">
        <v>269</v>
      </c>
      <c r="C16" s="207" t="str">
        <f>IFERROR(VLOOKUP($E$5,Mercredi_2_8h30,2,FALSE),"")</f>
        <v>Turbomachines approfondies</v>
      </c>
      <c r="D16" s="208" t="str">
        <f>IFERROR(VLOOKUP($E$5,Mercredi_2_8h30,5,FALSE),"")</f>
        <v>S28</v>
      </c>
      <c r="E16" s="208" t="str">
        <f>IFERROR(VLOOKUP($E$5,Mercredi_2_8h30,3,FALSE),"")</f>
        <v>A.Aliouali</v>
      </c>
      <c r="F16" s="209" t="str">
        <f>IFERROR(VLOOKUP($E$5,Mercredi_2_8h30,7,FALSE),"")</f>
        <v>M1 Energétique</v>
      </c>
      <c r="G16" s="207" t="str">
        <f>IFERROR(VLOOKUP($E$5,Mercredi_2_11h00,2,FALSE),"")</f>
        <v/>
      </c>
      <c r="H16" s="208" t="str">
        <f>IFERROR(VLOOKUP($E$5,Mercredi_2_11h00,5,FALSE),"")</f>
        <v/>
      </c>
      <c r="I16" s="208" t="str">
        <f>IFERROR(VLOOKUP($E$5,Mercredi_2_11h00,3,FALSE),"")</f>
        <v/>
      </c>
      <c r="J16" s="209" t="str">
        <f>IFERROR(VLOOKUP($E$5,Mercredi_2_11h00,7,FALSE),"")</f>
        <v/>
      </c>
      <c r="K16" s="207" t="str">
        <f>IFERROR(VLOOKUP($E$5,Mercredi_2_13h00,2,FALSE),"")</f>
        <v/>
      </c>
      <c r="L16" s="208" t="str">
        <f>IFERROR(VLOOKUP($E$5,Mercredi_2_13h00,5,FALSE),"")</f>
        <v/>
      </c>
      <c r="M16" s="208" t="str">
        <f>IFERROR(VLOOKUP($E$5,Mercredi_2_13h00,3,FALSE),"")</f>
        <v/>
      </c>
      <c r="N16" s="209" t="str">
        <f>IFERROR(VLOOKUP($E$5,Mercredi_2_13h00,7,FALSE),"")</f>
        <v/>
      </c>
      <c r="O16" s="185" t="str">
        <f>IFERROR(VLOOKUP($E$5,Mercredi_2_14h30,2,FALSE),"")</f>
        <v/>
      </c>
      <c r="P16" s="185" t="str">
        <f>IFERROR(VLOOKUP($E$5,Mercredi_2_14h30,5,FALSE),"")</f>
        <v/>
      </c>
      <c r="Q16" s="185"/>
      <c r="R16" s="185" t="str">
        <f>IFERROR(VLOOKUP($E$5,Mercredi_2_14h30,7,FALSE),"")</f>
        <v/>
      </c>
    </row>
    <row r="17" spans="2:14">
      <c r="B17" s="191"/>
      <c r="C17" s="191"/>
      <c r="D17" s="199"/>
      <c r="E17" s="199"/>
      <c r="F17" s="199"/>
      <c r="G17" s="191"/>
      <c r="H17" s="199"/>
      <c r="I17" s="199"/>
      <c r="J17" s="199"/>
      <c r="K17" s="191"/>
      <c r="L17" s="199"/>
      <c r="M17" s="199"/>
      <c r="N17" s="199"/>
    </row>
    <row r="18" spans="2:14" ht="18" customHeight="1">
      <c r="B18" s="191"/>
      <c r="C18" s="191"/>
      <c r="D18" s="199"/>
      <c r="E18" s="199"/>
      <c r="F18" s="199"/>
      <c r="G18" s="191"/>
      <c r="H18" s="199"/>
      <c r="I18" s="199"/>
      <c r="J18" s="199"/>
      <c r="K18" s="200" t="s">
        <v>149</v>
      </c>
      <c r="L18" s="297">
        <f ca="1">TODAY()</f>
        <v>45419</v>
      </c>
      <c r="M18" s="297"/>
      <c r="N18" s="199"/>
    </row>
    <row r="19" spans="2:14" ht="7.5" customHeight="1">
      <c r="B19" s="191"/>
      <c r="C19" s="191"/>
      <c r="D19" s="199"/>
      <c r="E19" s="199"/>
      <c r="F19" s="199"/>
      <c r="G19" s="191"/>
      <c r="H19" s="199"/>
      <c r="I19" s="199"/>
      <c r="J19" s="199"/>
      <c r="K19" s="191"/>
      <c r="L19" s="199"/>
      <c r="M19" s="199"/>
      <c r="N19" s="199"/>
    </row>
    <row r="20" spans="2:14" ht="18.75">
      <c r="B20" s="191"/>
      <c r="C20" s="191"/>
      <c r="D20" s="199"/>
      <c r="E20" s="199"/>
      <c r="F20" s="199"/>
      <c r="G20" s="191"/>
      <c r="H20" s="199"/>
      <c r="I20" s="199"/>
      <c r="J20" s="199"/>
      <c r="K20" s="298" t="s">
        <v>150</v>
      </c>
      <c r="L20" s="298"/>
      <c r="M20" s="199"/>
      <c r="N20" s="199"/>
    </row>
  </sheetData>
  <mergeCells count="13">
    <mergeCell ref="O7:R7"/>
    <mergeCell ref="K5:M5"/>
    <mergeCell ref="B5:D5"/>
    <mergeCell ref="E5:F5"/>
    <mergeCell ref="B3:N3"/>
    <mergeCell ref="B1:N1"/>
    <mergeCell ref="B4:N4"/>
    <mergeCell ref="L18:M18"/>
    <mergeCell ref="K20:L20"/>
    <mergeCell ref="G7:J7"/>
    <mergeCell ref="C7:F7"/>
    <mergeCell ref="K7:N7"/>
    <mergeCell ref="B2:N2"/>
  </mergeCells>
  <conditionalFormatting sqref="C9:R16">
    <cfRule type="cellIs" dxfId="1" priority="2" operator="equal">
      <formula>0</formula>
    </cfRule>
  </conditionalFormatting>
  <dataValidations count="1">
    <dataValidation type="list" allowBlank="1" showInputMessage="1" showErrorMessage="1" sqref="H5:J5 E5">
      <formula1>Liste_enseignants</formula1>
    </dataValidation>
  </dataValidations>
  <printOptions horizontalCentered="1"/>
  <pageMargins left="0" right="0" top="0.19685039370078741" bottom="0.59055118110236227" header="0" footer="0.19685039370078741"/>
  <pageSetup paperSize="9" scale="5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B70"/>
  <sheetViews>
    <sheetView topLeftCell="A33" workbookViewId="0">
      <selection activeCell="B54" sqref="B54"/>
    </sheetView>
  </sheetViews>
  <sheetFormatPr baseColWidth="10" defaultRowHeight="15"/>
  <cols>
    <col min="2" max="2" width="22.140625" bestFit="1" customWidth="1"/>
  </cols>
  <sheetData>
    <row r="1" spans="2:2">
      <c r="B1" s="218"/>
    </row>
    <row r="2" spans="2:2">
      <c r="B2" s="218"/>
    </row>
    <row r="3" spans="2:2">
      <c r="B3" s="23" t="s">
        <v>145</v>
      </c>
    </row>
    <row r="4" spans="2:2">
      <c r="B4" s="218" t="s">
        <v>69</v>
      </c>
    </row>
    <row r="5" spans="2:2">
      <c r="B5" s="218" t="s">
        <v>84</v>
      </c>
    </row>
    <row r="6" spans="2:2">
      <c r="B6" s="218" t="s">
        <v>87</v>
      </c>
    </row>
    <row r="7" spans="2:2">
      <c r="B7" s="218" t="s">
        <v>88</v>
      </c>
    </row>
    <row r="8" spans="2:2">
      <c r="B8" s="218" t="s">
        <v>31</v>
      </c>
    </row>
    <row r="9" spans="2:2">
      <c r="B9" s="218" t="s">
        <v>33</v>
      </c>
    </row>
    <row r="10" spans="2:2">
      <c r="B10" s="218" t="s">
        <v>98</v>
      </c>
    </row>
    <row r="11" spans="2:2">
      <c r="B11" s="218" t="s">
        <v>91</v>
      </c>
    </row>
    <row r="12" spans="2:2">
      <c r="B12" s="218" t="s">
        <v>35</v>
      </c>
    </row>
    <row r="13" spans="2:2">
      <c r="B13" s="218" t="s">
        <v>96</v>
      </c>
    </row>
    <row r="14" spans="2:2">
      <c r="B14" s="218" t="s">
        <v>152</v>
      </c>
    </row>
    <row r="15" spans="2:2">
      <c r="B15" s="218" t="s">
        <v>22</v>
      </c>
    </row>
    <row r="16" spans="2:2">
      <c r="B16" s="218" t="s">
        <v>67</v>
      </c>
    </row>
    <row r="17" spans="2:2">
      <c r="B17" s="218" t="s">
        <v>34</v>
      </c>
    </row>
    <row r="18" spans="2:2">
      <c r="B18" s="218" t="s">
        <v>151</v>
      </c>
    </row>
    <row r="19" spans="2:2">
      <c r="B19" s="218" t="s">
        <v>110</v>
      </c>
    </row>
    <row r="20" spans="2:2">
      <c r="B20" s="218" t="s">
        <v>78</v>
      </c>
    </row>
    <row r="21" spans="2:2">
      <c r="B21" s="218" t="s">
        <v>55</v>
      </c>
    </row>
    <row r="22" spans="2:2">
      <c r="B22" s="218" t="s">
        <v>44</v>
      </c>
    </row>
    <row r="23" spans="2:2">
      <c r="B23" s="218" t="s">
        <v>38</v>
      </c>
    </row>
    <row r="24" spans="2:2">
      <c r="B24" s="218" t="s">
        <v>125</v>
      </c>
    </row>
    <row r="25" spans="2:2">
      <c r="B25" s="218" t="s">
        <v>119</v>
      </c>
    </row>
    <row r="26" spans="2:2">
      <c r="B26" s="218" t="s">
        <v>43</v>
      </c>
    </row>
    <row r="27" spans="2:2">
      <c r="B27" s="218" t="s">
        <v>57</v>
      </c>
    </row>
    <row r="28" spans="2:2">
      <c r="B28" s="218" t="s">
        <v>121</v>
      </c>
    </row>
    <row r="29" spans="2:2">
      <c r="B29" s="218" t="s">
        <v>49</v>
      </c>
    </row>
    <row r="30" spans="2:2">
      <c r="B30" s="218" t="s">
        <v>54</v>
      </c>
    </row>
    <row r="31" spans="2:2">
      <c r="B31" s="218" t="s">
        <v>122</v>
      </c>
    </row>
    <row r="32" spans="2:2">
      <c r="B32" s="218" t="s">
        <v>130</v>
      </c>
    </row>
    <row r="33" spans="2:2">
      <c r="B33" s="218" t="s">
        <v>47</v>
      </c>
    </row>
    <row r="34" spans="2:2">
      <c r="B34" s="218" t="s">
        <v>73</v>
      </c>
    </row>
    <row r="35" spans="2:2">
      <c r="B35" s="218" t="s">
        <v>65</v>
      </c>
    </row>
    <row r="36" spans="2:2">
      <c r="B36" s="218" t="s">
        <v>100</v>
      </c>
    </row>
    <row r="37" spans="2:2">
      <c r="B37" s="218" t="s">
        <v>63</v>
      </c>
    </row>
    <row r="38" spans="2:2">
      <c r="B38" s="218" t="s">
        <v>61</v>
      </c>
    </row>
    <row r="39" spans="2:2">
      <c r="B39" s="218" t="s">
        <v>36</v>
      </c>
    </row>
    <row r="40" spans="2:2">
      <c r="B40" s="218" t="s">
        <v>117</v>
      </c>
    </row>
    <row r="41" spans="2:2">
      <c r="B41" s="218" t="s">
        <v>102</v>
      </c>
    </row>
    <row r="42" spans="2:2">
      <c r="B42" s="218" t="s">
        <v>42</v>
      </c>
    </row>
    <row r="43" spans="2:2">
      <c r="B43" s="218" t="s">
        <v>37</v>
      </c>
    </row>
    <row r="44" spans="2:2">
      <c r="B44" s="218" t="s">
        <v>72</v>
      </c>
    </row>
    <row r="45" spans="2:2">
      <c r="B45" s="218" t="s">
        <v>32</v>
      </c>
    </row>
    <row r="46" spans="2:2">
      <c r="B46" s="218" t="s">
        <v>51</v>
      </c>
    </row>
    <row r="47" spans="2:2">
      <c r="B47" s="218" t="s">
        <v>237</v>
      </c>
    </row>
    <row r="48" spans="2:2">
      <c r="B48" s="218" t="s">
        <v>228</v>
      </c>
    </row>
    <row r="49" spans="2:2">
      <c r="B49" s="218" t="s">
        <v>260</v>
      </c>
    </row>
    <row r="50" spans="2:2">
      <c r="B50" s="218" t="s">
        <v>272</v>
      </c>
    </row>
    <row r="51" spans="2:2">
      <c r="B51" s="218" t="s">
        <v>273</v>
      </c>
    </row>
    <row r="52" spans="2:2">
      <c r="B52" s="218" t="s">
        <v>274</v>
      </c>
    </row>
    <row r="53" spans="2:2" ht="15.75">
      <c r="B53" s="219" t="s">
        <v>67</v>
      </c>
    </row>
    <row r="54" spans="2:2">
      <c r="B54" s="218" t="s">
        <v>275</v>
      </c>
    </row>
    <row r="55" spans="2:2">
      <c r="B55" s="218" t="s">
        <v>277</v>
      </c>
    </row>
    <row r="56" spans="2:2">
      <c r="B56" s="218"/>
    </row>
    <row r="57" spans="2:2">
      <c r="B57" s="218"/>
    </row>
    <row r="58" spans="2:2">
      <c r="B58" s="218"/>
    </row>
    <row r="59" spans="2:2">
      <c r="B59" s="218"/>
    </row>
    <row r="60" spans="2:2">
      <c r="B60" s="218"/>
    </row>
    <row r="61" spans="2:2">
      <c r="B61" s="218"/>
    </row>
    <row r="62" spans="2:2">
      <c r="B62" s="218"/>
    </row>
    <row r="63" spans="2:2">
      <c r="B63" s="218"/>
    </row>
    <row r="64" spans="2:2">
      <c r="B64" s="218"/>
    </row>
    <row r="65" spans="2:2">
      <c r="B65" s="218"/>
    </row>
    <row r="66" spans="2:2">
      <c r="B66" s="218"/>
    </row>
    <row r="67" spans="2:2">
      <c r="B67" s="218"/>
    </row>
    <row r="68" spans="2:2">
      <c r="B68" s="218"/>
    </row>
    <row r="69" spans="2:2">
      <c r="B69" s="218"/>
    </row>
    <row r="70" spans="2:2">
      <c r="B70" s="218"/>
    </row>
  </sheetData>
  <sortState ref="B4:B46">
    <sortCondition ref="B4"/>
  </sortState>
  <conditionalFormatting sqref="B4:B6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2:O103"/>
  <sheetViews>
    <sheetView topLeftCell="A37" workbookViewId="0">
      <selection activeCell="E59" sqref="E59"/>
    </sheetView>
  </sheetViews>
  <sheetFormatPr baseColWidth="10" defaultRowHeight="15"/>
  <cols>
    <col min="3" max="3" width="12.7109375" style="7" customWidth="1"/>
    <col min="4" max="4" width="39.140625" bestFit="1" customWidth="1"/>
    <col min="5" max="5" width="15.85546875" bestFit="1" customWidth="1"/>
    <col min="6" max="6" width="8.5703125" bestFit="1" customWidth="1"/>
    <col min="7" max="7" width="37.7109375" bestFit="1" customWidth="1"/>
    <col min="8" max="8" width="14.28515625" bestFit="1" customWidth="1"/>
    <col min="9" max="9" width="8.5703125" bestFit="1" customWidth="1"/>
    <col min="10" max="10" width="38.7109375" bestFit="1" customWidth="1"/>
    <col min="11" max="11" width="14.5703125" bestFit="1" customWidth="1"/>
    <col min="12" max="12" width="8.5703125" bestFit="1" customWidth="1"/>
  </cols>
  <sheetData>
    <row r="2" spans="3:15">
      <c r="C2" s="316" t="s">
        <v>162</v>
      </c>
      <c r="D2" s="316"/>
      <c r="E2" s="316"/>
      <c r="F2" s="316"/>
      <c r="G2" s="316"/>
      <c r="H2" s="316"/>
      <c r="I2" s="316"/>
      <c r="J2" s="316"/>
      <c r="K2" s="316"/>
      <c r="L2" s="316"/>
    </row>
    <row r="3" spans="3:15">
      <c r="C3" s="316"/>
      <c r="D3" s="316"/>
      <c r="E3" s="316"/>
      <c r="F3" s="316"/>
      <c r="G3" s="316"/>
      <c r="H3" s="316"/>
      <c r="I3" s="316"/>
      <c r="J3" s="316"/>
      <c r="K3" s="316"/>
      <c r="L3" s="316"/>
    </row>
    <row r="4" spans="3:15" ht="15.75" thickBot="1"/>
    <row r="5" spans="3:15" ht="24" thickBot="1">
      <c r="C5" s="59"/>
      <c r="D5" s="313" t="s">
        <v>153</v>
      </c>
      <c r="E5" s="314"/>
      <c r="F5" s="315"/>
      <c r="G5" s="313" t="s">
        <v>154</v>
      </c>
      <c r="H5" s="314"/>
      <c r="I5" s="315"/>
      <c r="J5" s="314" t="s">
        <v>155</v>
      </c>
      <c r="K5" s="314"/>
      <c r="L5" s="315"/>
    </row>
    <row r="6" spans="3:15" ht="27.75" customHeight="1" thickBot="1">
      <c r="C6" s="59"/>
      <c r="D6" s="313" t="s">
        <v>0</v>
      </c>
      <c r="E6" s="314"/>
      <c r="F6" s="315"/>
      <c r="G6" s="313" t="s">
        <v>1</v>
      </c>
      <c r="H6" s="314"/>
      <c r="I6" s="315"/>
      <c r="J6" s="313" t="s">
        <v>2</v>
      </c>
      <c r="K6" s="314"/>
      <c r="L6" s="315"/>
      <c r="M6" s="6"/>
      <c r="N6" s="6"/>
      <c r="O6" s="6"/>
    </row>
    <row r="7" spans="3:15" ht="15.75" customHeight="1">
      <c r="C7" s="307" t="s">
        <v>161</v>
      </c>
      <c r="D7" s="27" t="s">
        <v>30</v>
      </c>
      <c r="E7" s="28" t="s">
        <v>31</v>
      </c>
      <c r="F7" s="29" t="s">
        <v>140</v>
      </c>
      <c r="G7" s="27" t="s">
        <v>105</v>
      </c>
      <c r="H7" s="28" t="s">
        <v>88</v>
      </c>
      <c r="I7" s="29" t="s">
        <v>140</v>
      </c>
      <c r="J7" s="27" t="s">
        <v>94</v>
      </c>
      <c r="K7" s="28" t="s">
        <v>31</v>
      </c>
      <c r="L7" s="29" t="s">
        <v>140</v>
      </c>
      <c r="M7" s="6"/>
      <c r="N7" s="6"/>
      <c r="O7" s="6"/>
    </row>
    <row r="8" spans="3:15" ht="15.75" customHeight="1">
      <c r="C8" s="308"/>
      <c r="D8" s="30" t="s">
        <v>64</v>
      </c>
      <c r="E8" s="31" t="s">
        <v>65</v>
      </c>
      <c r="F8" s="32" t="s">
        <v>139</v>
      </c>
      <c r="G8" s="30"/>
      <c r="H8" s="31"/>
      <c r="I8" s="32"/>
      <c r="J8" s="30"/>
      <c r="K8" s="31"/>
      <c r="L8" s="32"/>
      <c r="M8" s="6"/>
      <c r="N8" s="6"/>
      <c r="O8" s="6"/>
    </row>
    <row r="9" spans="3:15" ht="15.75" customHeight="1">
      <c r="C9" s="308"/>
      <c r="D9" s="30"/>
      <c r="E9" s="31"/>
      <c r="F9" s="32"/>
      <c r="G9" s="30"/>
      <c r="H9" s="31"/>
      <c r="I9" s="32"/>
      <c r="J9" s="30"/>
      <c r="K9" s="31"/>
      <c r="L9" s="32"/>
      <c r="M9" s="6"/>
      <c r="N9" s="6"/>
      <c r="O9" s="6"/>
    </row>
    <row r="10" spans="3:15" ht="15.75" customHeight="1">
      <c r="C10" s="308"/>
      <c r="D10" s="30"/>
      <c r="E10" s="31"/>
      <c r="F10" s="32"/>
      <c r="G10" s="30"/>
      <c r="H10" s="31"/>
      <c r="I10" s="32"/>
      <c r="J10" s="30"/>
      <c r="K10" s="31"/>
      <c r="L10" s="32"/>
      <c r="M10" s="6"/>
      <c r="N10" s="6"/>
      <c r="O10" s="6"/>
    </row>
    <row r="11" spans="3:15" ht="15.75" customHeight="1">
      <c r="C11" s="308"/>
      <c r="D11" s="30"/>
      <c r="E11" s="31"/>
      <c r="F11" s="32"/>
      <c r="G11" s="30"/>
      <c r="H11" s="31"/>
      <c r="I11" s="32"/>
      <c r="J11" s="30"/>
      <c r="K11" s="31"/>
      <c r="L11" s="32"/>
      <c r="M11" s="6"/>
      <c r="N11" s="6"/>
      <c r="O11" s="6"/>
    </row>
    <row r="12" spans="3:15" ht="15.75" customHeight="1" thickBot="1">
      <c r="C12" s="309"/>
      <c r="D12" s="33"/>
      <c r="E12" s="34"/>
      <c r="F12" s="35"/>
      <c r="G12" s="33"/>
      <c r="H12" s="34"/>
      <c r="I12" s="35"/>
      <c r="J12" s="33"/>
      <c r="K12" s="34"/>
      <c r="L12" s="35"/>
      <c r="M12" s="6"/>
      <c r="N12" s="6"/>
      <c r="O12" s="6"/>
    </row>
    <row r="13" spans="3:15" ht="15.75" customHeight="1">
      <c r="C13" s="310" t="s">
        <v>9</v>
      </c>
      <c r="D13" s="43" t="s">
        <v>39</v>
      </c>
      <c r="E13" s="43" t="s">
        <v>42</v>
      </c>
      <c r="F13" s="44" t="s">
        <v>164</v>
      </c>
      <c r="G13" s="45"/>
      <c r="H13" s="46"/>
      <c r="I13" s="44"/>
      <c r="J13" s="45"/>
      <c r="K13" s="46"/>
      <c r="L13" s="44"/>
      <c r="M13" s="26"/>
    </row>
    <row r="14" spans="3:15" ht="15.75">
      <c r="C14" s="311"/>
      <c r="D14" s="47" t="s">
        <v>52</v>
      </c>
      <c r="E14" s="47" t="s">
        <v>54</v>
      </c>
      <c r="F14" s="48" t="s">
        <v>139</v>
      </c>
      <c r="G14" s="49"/>
      <c r="H14" s="50"/>
      <c r="I14" s="48"/>
      <c r="J14" s="49"/>
      <c r="K14" s="50"/>
      <c r="L14" s="48"/>
      <c r="M14" s="26"/>
    </row>
    <row r="15" spans="3:15" ht="15.75">
      <c r="C15" s="311"/>
      <c r="D15" s="47" t="s">
        <v>66</v>
      </c>
      <c r="E15" s="47" t="s">
        <v>67</v>
      </c>
      <c r="F15" s="48" t="s">
        <v>140</v>
      </c>
      <c r="G15" s="49"/>
      <c r="H15" s="50"/>
      <c r="I15" s="48"/>
      <c r="J15" s="49"/>
      <c r="K15" s="50"/>
      <c r="L15" s="48"/>
      <c r="M15" s="26"/>
    </row>
    <row r="16" spans="3:15" ht="15.75">
      <c r="C16" s="311"/>
      <c r="D16" s="47" t="s">
        <v>40</v>
      </c>
      <c r="E16" s="47" t="s">
        <v>43</v>
      </c>
      <c r="F16" s="48" t="s">
        <v>141</v>
      </c>
      <c r="G16" s="49"/>
      <c r="H16" s="50"/>
      <c r="I16" s="48"/>
      <c r="J16" s="49"/>
      <c r="K16" s="50"/>
      <c r="L16" s="48"/>
      <c r="M16" s="26"/>
    </row>
    <row r="17" spans="2:13" ht="15.75">
      <c r="C17" s="311"/>
      <c r="D17" s="47" t="s">
        <v>53</v>
      </c>
      <c r="E17" s="47" t="s">
        <v>55</v>
      </c>
      <c r="F17" s="48" t="s">
        <v>142</v>
      </c>
      <c r="G17" s="49"/>
      <c r="H17" s="50"/>
      <c r="I17" s="48"/>
      <c r="J17" s="49"/>
      <c r="K17" s="50"/>
      <c r="L17" s="48"/>
      <c r="M17" s="26"/>
    </row>
    <row r="18" spans="2:13" ht="16.5" thickBot="1">
      <c r="C18" s="312"/>
      <c r="D18" s="51"/>
      <c r="E18" s="52"/>
      <c r="F18" s="53"/>
      <c r="G18" s="51"/>
      <c r="H18" s="52"/>
      <c r="I18" s="53"/>
      <c r="J18" s="51"/>
      <c r="K18" s="52"/>
      <c r="L18" s="53"/>
      <c r="M18" s="26"/>
    </row>
    <row r="19" spans="2:13" ht="15.75">
      <c r="C19" s="307" t="s">
        <v>156</v>
      </c>
      <c r="D19" s="27"/>
      <c r="E19" s="28"/>
      <c r="F19" s="29"/>
      <c r="G19" s="26"/>
      <c r="I19" s="29"/>
      <c r="J19" t="s">
        <v>74</v>
      </c>
      <c r="K19" t="s">
        <v>51</v>
      </c>
      <c r="L19" s="29" t="s">
        <v>142</v>
      </c>
    </row>
    <row r="20" spans="2:13" ht="15.75">
      <c r="C20" s="308"/>
      <c r="D20" s="30"/>
      <c r="E20" s="31"/>
      <c r="F20" s="32"/>
      <c r="G20" s="26" t="s">
        <v>116</v>
      </c>
      <c r="H20" t="s">
        <v>117</v>
      </c>
      <c r="I20" s="32" t="s">
        <v>141</v>
      </c>
      <c r="J20" t="s">
        <v>85</v>
      </c>
      <c r="K20" t="s">
        <v>54</v>
      </c>
      <c r="L20" s="32" t="s">
        <v>139</v>
      </c>
    </row>
    <row r="21" spans="2:13" ht="15.75">
      <c r="C21" s="308"/>
      <c r="D21" s="30"/>
      <c r="E21" s="31"/>
      <c r="F21" s="32"/>
      <c r="G21" s="26" t="s">
        <v>128</v>
      </c>
      <c r="H21" t="s">
        <v>98</v>
      </c>
      <c r="I21" s="32" t="s">
        <v>139</v>
      </c>
      <c r="J21" t="s">
        <v>95</v>
      </c>
      <c r="K21" t="s">
        <v>96</v>
      </c>
      <c r="L21" s="32" t="s">
        <v>140</v>
      </c>
    </row>
    <row r="22" spans="2:13" ht="15.75">
      <c r="C22" s="308"/>
      <c r="D22" s="30"/>
      <c r="E22" s="31"/>
      <c r="F22" s="32"/>
      <c r="G22" s="30" t="s">
        <v>115</v>
      </c>
      <c r="H22" s="31" t="s">
        <v>110</v>
      </c>
      <c r="I22" s="32" t="s">
        <v>140</v>
      </c>
      <c r="J22" s="30" t="s">
        <v>106</v>
      </c>
      <c r="K22" s="31" t="s">
        <v>78</v>
      </c>
      <c r="L22" s="32" t="s">
        <v>141</v>
      </c>
      <c r="M22" s="26"/>
    </row>
    <row r="23" spans="2:13" ht="15.75">
      <c r="C23" s="308"/>
      <c r="D23" s="30"/>
      <c r="E23" s="31"/>
      <c r="F23" s="32"/>
      <c r="G23" s="30"/>
      <c r="H23" s="31"/>
      <c r="I23" s="32"/>
      <c r="J23" s="30"/>
      <c r="K23" s="31"/>
      <c r="L23" s="32"/>
      <c r="M23" s="26"/>
    </row>
    <row r="24" spans="2:13" ht="16.5" thickBot="1">
      <c r="C24" s="309"/>
      <c r="D24" s="33"/>
      <c r="E24" s="34"/>
      <c r="F24" s="35"/>
      <c r="G24" s="33"/>
      <c r="H24" s="34"/>
      <c r="I24" s="35"/>
      <c r="J24" s="33"/>
      <c r="K24" s="34"/>
      <c r="L24" s="35"/>
    </row>
    <row r="25" spans="2:13" ht="15.75">
      <c r="C25" s="310" t="s">
        <v>157</v>
      </c>
      <c r="D25" s="45" t="s">
        <v>23</v>
      </c>
      <c r="E25" s="46" t="s">
        <v>32</v>
      </c>
      <c r="F25" s="44" t="s">
        <v>163</v>
      </c>
      <c r="G25" s="49" t="s">
        <v>24</v>
      </c>
      <c r="H25" s="50" t="s">
        <v>33</v>
      </c>
      <c r="I25" s="44" t="s">
        <v>163</v>
      </c>
      <c r="J25" s="47" t="s">
        <v>75</v>
      </c>
      <c r="K25" s="47" t="s">
        <v>43</v>
      </c>
      <c r="L25" s="44" t="s">
        <v>141</v>
      </c>
      <c r="M25" s="26"/>
    </row>
    <row r="26" spans="2:13" ht="15.75">
      <c r="C26" s="311"/>
      <c r="D26" s="49" t="s">
        <v>41</v>
      </c>
      <c r="E26" s="50" t="s">
        <v>44</v>
      </c>
      <c r="F26" s="48" t="s">
        <v>139</v>
      </c>
      <c r="G26" s="49" t="s">
        <v>107</v>
      </c>
      <c r="H26" s="50" t="s">
        <v>43</v>
      </c>
      <c r="I26" s="48" t="s">
        <v>142</v>
      </c>
      <c r="J26" s="47" t="s">
        <v>86</v>
      </c>
      <c r="K26" s="47" t="s">
        <v>87</v>
      </c>
      <c r="L26" s="48" t="s">
        <v>139</v>
      </c>
    </row>
    <row r="27" spans="2:13" ht="15.75">
      <c r="C27" s="311"/>
      <c r="D27" s="49"/>
      <c r="E27" s="50"/>
      <c r="F27" s="48"/>
      <c r="G27" s="54" t="s">
        <v>118</v>
      </c>
      <c r="H27" s="47" t="s">
        <v>119</v>
      </c>
      <c r="I27" s="48" t="s">
        <v>139</v>
      </c>
      <c r="J27" s="47" t="s">
        <v>97</v>
      </c>
      <c r="K27" s="47" t="s">
        <v>98</v>
      </c>
      <c r="L27" s="48" t="s">
        <v>140</v>
      </c>
    </row>
    <row r="28" spans="2:13" ht="15.75">
      <c r="B28" s="62"/>
      <c r="C28" s="311"/>
      <c r="D28" s="49"/>
      <c r="E28" s="50"/>
      <c r="F28" s="48"/>
      <c r="G28" s="54" t="s">
        <v>129</v>
      </c>
      <c r="H28" s="47" t="s">
        <v>130</v>
      </c>
      <c r="I28" s="48" t="s">
        <v>140</v>
      </c>
      <c r="J28" s="49"/>
      <c r="K28" s="50"/>
      <c r="L28" s="48"/>
    </row>
    <row r="29" spans="2:13" ht="15.75">
      <c r="C29" s="311"/>
      <c r="D29" s="49"/>
      <c r="E29" s="50"/>
      <c r="F29" s="48"/>
      <c r="G29" s="54" t="s">
        <v>108</v>
      </c>
      <c r="H29" s="47" t="s">
        <v>49</v>
      </c>
      <c r="I29" s="48" t="s">
        <v>141</v>
      </c>
      <c r="J29" s="49"/>
      <c r="K29" s="50"/>
      <c r="L29" s="48"/>
      <c r="M29" s="26"/>
    </row>
    <row r="30" spans="2:13" ht="16.5" thickBot="1">
      <c r="C30" s="312"/>
      <c r="D30" s="51"/>
      <c r="E30" s="52"/>
      <c r="F30" s="53"/>
      <c r="G30" s="51"/>
      <c r="H30" s="52"/>
      <c r="I30" s="53"/>
      <c r="J30" s="51"/>
      <c r="K30" s="52"/>
      <c r="L30" s="53"/>
      <c r="M30" s="26"/>
    </row>
    <row r="31" spans="2:13" ht="15.75">
      <c r="C31" s="307" t="s">
        <v>158</v>
      </c>
      <c r="D31" s="27"/>
      <c r="E31" s="28"/>
      <c r="F31" s="29"/>
      <c r="G31" s="36" t="s">
        <v>25</v>
      </c>
      <c r="H31" s="37" t="s">
        <v>34</v>
      </c>
      <c r="I31" s="29" t="s">
        <v>163</v>
      </c>
      <c r="J31" t="s">
        <v>76</v>
      </c>
      <c r="K31" t="s">
        <v>51</v>
      </c>
      <c r="L31" s="29" t="s">
        <v>139</v>
      </c>
    </row>
    <row r="32" spans="2:13" ht="15.75">
      <c r="C32" s="308"/>
      <c r="D32" s="30" t="s">
        <v>56</v>
      </c>
      <c r="E32" s="31" t="s">
        <v>57</v>
      </c>
      <c r="F32" s="32" t="s">
        <v>139</v>
      </c>
      <c r="G32" s="38" t="s">
        <v>26</v>
      </c>
      <c r="H32" s="39" t="s">
        <v>35</v>
      </c>
      <c r="I32" s="32" t="s">
        <v>163</v>
      </c>
      <c r="J32" t="s">
        <v>25</v>
      </c>
      <c r="K32" t="s">
        <v>88</v>
      </c>
      <c r="L32" s="32" t="s">
        <v>140</v>
      </c>
      <c r="M32" s="26"/>
    </row>
    <row r="33" spans="3:13" ht="15.75">
      <c r="C33" s="308"/>
      <c r="D33" t="s">
        <v>68</v>
      </c>
      <c r="E33" t="s">
        <v>69</v>
      </c>
      <c r="F33" s="32" t="s">
        <v>140</v>
      </c>
      <c r="G33" s="38"/>
      <c r="H33" s="39"/>
      <c r="I33" s="32"/>
      <c r="J33" t="s">
        <v>99</v>
      </c>
      <c r="K33" t="s">
        <v>100</v>
      </c>
      <c r="L33" s="32" t="s">
        <v>141</v>
      </c>
      <c r="M33" s="26"/>
    </row>
    <row r="34" spans="3:13" ht="15.75">
      <c r="C34" s="308"/>
      <c r="F34" s="32"/>
      <c r="G34" s="38" t="s">
        <v>120</v>
      </c>
      <c r="H34" s="39" t="s">
        <v>121</v>
      </c>
      <c r="I34" s="32" t="s">
        <v>139</v>
      </c>
      <c r="L34" s="32"/>
      <c r="M34" s="26"/>
    </row>
    <row r="35" spans="3:13" ht="15.75">
      <c r="C35" s="308"/>
      <c r="D35" t="s">
        <v>58</v>
      </c>
      <c r="E35" t="s">
        <v>35</v>
      </c>
      <c r="F35" s="32" t="s">
        <v>141</v>
      </c>
      <c r="G35" s="38" t="s">
        <v>131</v>
      </c>
      <c r="H35" s="39" t="s">
        <v>65</v>
      </c>
      <c r="I35" s="32" t="s">
        <v>140</v>
      </c>
      <c r="J35" s="30"/>
      <c r="K35" s="31"/>
      <c r="L35" s="32"/>
      <c r="M35" s="26"/>
    </row>
    <row r="36" spans="3:13" ht="16.5" thickBot="1">
      <c r="C36" s="309"/>
      <c r="D36" t="s">
        <v>70</v>
      </c>
      <c r="E36" t="s">
        <v>69</v>
      </c>
      <c r="F36" s="32" t="s">
        <v>142</v>
      </c>
      <c r="G36" s="41" t="s">
        <v>45</v>
      </c>
      <c r="H36" s="42" t="s">
        <v>31</v>
      </c>
      <c r="I36" s="35" t="s">
        <v>141</v>
      </c>
      <c r="J36" s="33"/>
      <c r="K36" s="34"/>
      <c r="L36" s="35"/>
      <c r="M36" s="26"/>
    </row>
    <row r="37" spans="3:13" ht="15.75">
      <c r="C37" s="310" t="s">
        <v>159</v>
      </c>
      <c r="D37" s="55"/>
      <c r="E37" s="56"/>
      <c r="F37" s="44"/>
      <c r="G37" s="47"/>
      <c r="H37" s="47"/>
      <c r="I37" s="48"/>
      <c r="J37" s="47" t="s">
        <v>77</v>
      </c>
      <c r="K37" s="47" t="s">
        <v>78</v>
      </c>
      <c r="L37" s="44" t="s">
        <v>164</v>
      </c>
      <c r="M37" s="26"/>
    </row>
    <row r="38" spans="3:13" ht="15.75">
      <c r="C38" s="311"/>
      <c r="D38" s="57" t="s">
        <v>59</v>
      </c>
      <c r="E38" s="58" t="s">
        <v>55</v>
      </c>
      <c r="F38" s="48" t="s">
        <v>139</v>
      </c>
      <c r="G38" s="47" t="s">
        <v>28</v>
      </c>
      <c r="H38" s="47" t="s">
        <v>37</v>
      </c>
      <c r="I38" s="48" t="s">
        <v>163</v>
      </c>
      <c r="J38" s="47" t="s">
        <v>101</v>
      </c>
      <c r="K38" s="47" t="s">
        <v>102</v>
      </c>
      <c r="L38" s="48" t="s">
        <v>165</v>
      </c>
      <c r="M38" s="26"/>
    </row>
    <row r="39" spans="3:13" ht="15.75">
      <c r="C39" s="311"/>
      <c r="D39" s="57" t="s">
        <v>71</v>
      </c>
      <c r="E39" s="58" t="s">
        <v>72</v>
      </c>
      <c r="F39" s="48" t="s">
        <v>140</v>
      </c>
      <c r="G39" s="47" t="s">
        <v>109</v>
      </c>
      <c r="H39" s="47" t="s">
        <v>110</v>
      </c>
      <c r="I39" s="48" t="s">
        <v>139</v>
      </c>
      <c r="J39" s="47" t="s">
        <v>79</v>
      </c>
      <c r="K39" s="47" t="s">
        <v>42</v>
      </c>
      <c r="L39" s="48" t="s">
        <v>164</v>
      </c>
      <c r="M39" s="26"/>
    </row>
    <row r="40" spans="3:13" ht="15.75">
      <c r="C40" s="311"/>
      <c r="D40" s="49"/>
      <c r="E40" s="50"/>
      <c r="F40" s="48"/>
      <c r="G40" s="47" t="s">
        <v>123</v>
      </c>
      <c r="H40" s="47" t="s">
        <v>122</v>
      </c>
      <c r="I40" s="48" t="s">
        <v>140</v>
      </c>
      <c r="J40" s="47" t="s">
        <v>90</v>
      </c>
      <c r="K40" s="47" t="s">
        <v>91</v>
      </c>
      <c r="L40" s="48" t="s">
        <v>166</v>
      </c>
      <c r="M40" s="26"/>
    </row>
    <row r="41" spans="3:13" ht="15.75">
      <c r="C41" s="311"/>
      <c r="D41" s="49"/>
      <c r="E41" s="50"/>
      <c r="F41" s="48"/>
      <c r="G41" s="47" t="s">
        <v>132</v>
      </c>
      <c r="H41" s="47" t="s">
        <v>87</v>
      </c>
      <c r="I41" s="48" t="s">
        <v>141</v>
      </c>
      <c r="J41" s="47" t="s">
        <v>103</v>
      </c>
      <c r="K41" s="47" t="s">
        <v>72</v>
      </c>
      <c r="L41" s="48" t="s">
        <v>163</v>
      </c>
      <c r="M41" s="26"/>
    </row>
    <row r="42" spans="3:13" ht="15.75">
      <c r="C42" s="311"/>
      <c r="D42" s="49"/>
      <c r="E42" s="50"/>
      <c r="F42" s="48"/>
      <c r="G42" s="47" t="s">
        <v>111</v>
      </c>
      <c r="H42" s="47" t="s">
        <v>51</v>
      </c>
      <c r="I42" s="48" t="s">
        <v>142</v>
      </c>
      <c r="J42" s="47"/>
      <c r="K42" s="47"/>
      <c r="L42" s="48"/>
      <c r="M42" s="26"/>
    </row>
    <row r="43" spans="3:13" ht="15.75">
      <c r="C43" s="311"/>
      <c r="D43" s="49"/>
      <c r="E43" s="50"/>
      <c r="F43" s="48"/>
      <c r="G43" s="47" t="s">
        <v>124</v>
      </c>
      <c r="H43" s="47" t="s">
        <v>125</v>
      </c>
      <c r="I43" s="48" t="s">
        <v>164</v>
      </c>
      <c r="J43" s="49"/>
      <c r="K43" s="50"/>
      <c r="L43" s="48"/>
      <c r="M43" s="26"/>
    </row>
    <row r="44" spans="3:13" ht="15.75">
      <c r="C44" s="311"/>
      <c r="D44" s="49"/>
      <c r="E44" s="50"/>
      <c r="F44" s="48"/>
      <c r="G44" s="47" t="s">
        <v>133</v>
      </c>
      <c r="H44" s="47" t="s">
        <v>102</v>
      </c>
      <c r="I44" s="48" t="s">
        <v>165</v>
      </c>
      <c r="J44" s="49"/>
      <c r="K44" s="50"/>
      <c r="L44" s="48"/>
      <c r="M44" s="26"/>
    </row>
    <row r="45" spans="3:13" ht="16.5" thickBot="1">
      <c r="C45" s="312"/>
      <c r="D45" s="51"/>
      <c r="E45" s="52"/>
      <c r="F45" s="53"/>
      <c r="G45" s="51"/>
      <c r="H45" s="52"/>
      <c r="I45" s="53"/>
      <c r="J45" s="51"/>
      <c r="K45" s="52"/>
      <c r="L45" s="53"/>
      <c r="M45" s="26"/>
    </row>
    <row r="46" spans="3:13" ht="15.75">
      <c r="C46" s="307" t="s">
        <v>160</v>
      </c>
      <c r="D46" s="36" t="s">
        <v>48</v>
      </c>
      <c r="E46" s="37" t="s">
        <v>49</v>
      </c>
      <c r="F46" s="29" t="s">
        <v>14</v>
      </c>
      <c r="G46" s="36" t="s">
        <v>82</v>
      </c>
      <c r="H46" s="37" t="s">
        <v>44</v>
      </c>
      <c r="I46" s="29" t="s">
        <v>14</v>
      </c>
      <c r="J46" s="36" t="s">
        <v>113</v>
      </c>
      <c r="K46" s="37" t="s">
        <v>61</v>
      </c>
      <c r="L46" s="29" t="s">
        <v>163</v>
      </c>
    </row>
    <row r="47" spans="3:13" ht="15.75">
      <c r="C47" s="308"/>
      <c r="D47" s="30" t="s">
        <v>80</v>
      </c>
      <c r="E47" s="31" t="s">
        <v>81</v>
      </c>
      <c r="F47" s="32" t="s">
        <v>14</v>
      </c>
      <c r="G47" s="38" t="s">
        <v>27</v>
      </c>
      <c r="H47" s="39" t="s">
        <v>36</v>
      </c>
      <c r="I47" s="32" t="s">
        <v>163</v>
      </c>
      <c r="J47" s="38" t="s">
        <v>114</v>
      </c>
      <c r="K47" s="39" t="s">
        <v>61</v>
      </c>
      <c r="L47" s="32" t="s">
        <v>163</v>
      </c>
    </row>
    <row r="48" spans="3:13" ht="15.75" customHeight="1">
      <c r="C48" s="308"/>
      <c r="D48" s="40" t="s">
        <v>29</v>
      </c>
      <c r="E48" s="39" t="s">
        <v>38</v>
      </c>
      <c r="F48" s="32" t="s">
        <v>163</v>
      </c>
      <c r="G48" s="40" t="s">
        <v>45</v>
      </c>
      <c r="H48" s="39" t="s">
        <v>31</v>
      </c>
      <c r="I48" s="32" t="s">
        <v>15</v>
      </c>
      <c r="J48" s="40" t="s">
        <v>60</v>
      </c>
      <c r="K48" s="39" t="s">
        <v>61</v>
      </c>
      <c r="L48" s="32" t="s">
        <v>163</v>
      </c>
    </row>
    <row r="49" spans="3:13" ht="15.75" customHeight="1">
      <c r="C49" s="308"/>
      <c r="D49" s="40" t="s">
        <v>50</v>
      </c>
      <c r="E49" s="39" t="s">
        <v>51</v>
      </c>
      <c r="F49" s="32" t="s">
        <v>15</v>
      </c>
      <c r="G49" s="40" t="s">
        <v>126</v>
      </c>
      <c r="H49" s="39" t="s">
        <v>100</v>
      </c>
      <c r="I49" s="32" t="s">
        <v>16</v>
      </c>
      <c r="J49" s="40" t="s">
        <v>127</v>
      </c>
      <c r="K49" s="39" t="s">
        <v>61</v>
      </c>
      <c r="L49" s="32" t="s">
        <v>163</v>
      </c>
    </row>
    <row r="50" spans="3:13" ht="15.75" customHeight="1">
      <c r="C50" s="308"/>
      <c r="D50" s="40" t="s">
        <v>62</v>
      </c>
      <c r="E50" s="39" t="s">
        <v>63</v>
      </c>
      <c r="F50" s="32" t="s">
        <v>16</v>
      </c>
      <c r="G50" s="40" t="s">
        <v>134</v>
      </c>
      <c r="H50" s="39" t="s">
        <v>47</v>
      </c>
      <c r="I50" s="32" t="s">
        <v>17</v>
      </c>
      <c r="J50" s="40"/>
      <c r="K50" s="39"/>
      <c r="L50" s="32"/>
      <c r="M50" s="26"/>
    </row>
    <row r="51" spans="3:13" ht="15.75" customHeight="1">
      <c r="C51" s="308"/>
      <c r="D51" s="38" t="s">
        <v>89</v>
      </c>
      <c r="E51" s="39" t="s">
        <v>63</v>
      </c>
      <c r="F51" s="32" t="s">
        <v>16</v>
      </c>
      <c r="G51" s="38" t="s">
        <v>104</v>
      </c>
      <c r="H51" s="39" t="s">
        <v>55</v>
      </c>
      <c r="I51" s="32" t="s">
        <v>18</v>
      </c>
      <c r="J51" s="38"/>
      <c r="K51" s="39"/>
      <c r="L51" s="32"/>
      <c r="M51" s="26"/>
    </row>
    <row r="52" spans="3:13" ht="15.75" customHeight="1">
      <c r="C52" s="308"/>
      <c r="D52" s="38" t="s">
        <v>25</v>
      </c>
      <c r="E52" s="39" t="s">
        <v>73</v>
      </c>
      <c r="F52" s="32" t="s">
        <v>17</v>
      </c>
      <c r="G52" s="38"/>
      <c r="H52" s="39"/>
      <c r="I52" s="60"/>
      <c r="J52" s="38"/>
      <c r="K52" s="39"/>
      <c r="L52" s="60"/>
      <c r="M52" s="26"/>
    </row>
    <row r="53" spans="3:13" ht="15.75" customHeight="1">
      <c r="C53" s="308"/>
      <c r="D53" s="38" t="s">
        <v>46</v>
      </c>
      <c r="E53" s="39" t="s">
        <v>47</v>
      </c>
      <c r="F53" s="32" t="s">
        <v>18</v>
      </c>
      <c r="G53" s="38"/>
      <c r="H53" s="39"/>
      <c r="I53" s="60"/>
      <c r="J53" s="38"/>
      <c r="K53" s="39"/>
      <c r="L53" s="60"/>
      <c r="M53" s="26"/>
    </row>
    <row r="54" spans="3:13" ht="15.75" customHeight="1">
      <c r="C54" s="308"/>
      <c r="D54" s="38" t="s">
        <v>92</v>
      </c>
      <c r="E54" s="39" t="s">
        <v>93</v>
      </c>
      <c r="F54" s="32" t="s">
        <v>19</v>
      </c>
      <c r="G54" s="38" t="s">
        <v>112</v>
      </c>
      <c r="H54" s="39" t="s">
        <v>42</v>
      </c>
      <c r="I54" s="32" t="s">
        <v>19</v>
      </c>
      <c r="J54" s="38"/>
      <c r="K54" s="39"/>
      <c r="L54" s="32"/>
      <c r="M54" s="26"/>
    </row>
    <row r="55" spans="3:13" ht="16.5" customHeight="1" thickBot="1">
      <c r="C55" s="309"/>
      <c r="D55" s="41" t="s">
        <v>83</v>
      </c>
      <c r="E55" s="42" t="s">
        <v>84</v>
      </c>
      <c r="F55" s="35" t="s">
        <v>138</v>
      </c>
      <c r="G55" s="41"/>
      <c r="H55" s="42"/>
      <c r="I55" s="61"/>
      <c r="J55" s="41"/>
      <c r="K55" s="42"/>
      <c r="L55" s="61"/>
    </row>
    <row r="56" spans="3:13" ht="15.75" customHeight="1">
      <c r="C56" s="25"/>
      <c r="D56" s="24"/>
      <c r="E56" s="24"/>
      <c r="F56" s="24"/>
      <c r="G56" s="24"/>
      <c r="H56" s="24"/>
      <c r="I56" s="24"/>
      <c r="J56" s="24"/>
      <c r="K56" s="24"/>
      <c r="L56" s="24"/>
    </row>
    <row r="57" spans="3:13" ht="15.75" customHeight="1">
      <c r="C57" s="25"/>
      <c r="D57" s="24"/>
      <c r="E57" s="24"/>
      <c r="F57" s="24"/>
      <c r="G57" s="24"/>
      <c r="H57" s="24"/>
      <c r="I57" s="24"/>
      <c r="J57" s="24"/>
      <c r="K57" s="24"/>
      <c r="L57" s="24"/>
    </row>
    <row r="58" spans="3:13" ht="15.75" customHeight="1">
      <c r="C58" s="25"/>
      <c r="D58" s="24"/>
      <c r="E58" s="24"/>
      <c r="F58" s="24"/>
      <c r="G58" s="24"/>
      <c r="H58" s="24"/>
      <c r="I58" s="24"/>
      <c r="J58" s="24"/>
      <c r="K58" s="24"/>
      <c r="L58" s="24"/>
    </row>
    <row r="59" spans="3:13" ht="16.5" customHeight="1">
      <c r="C59" s="25"/>
      <c r="D59" s="24"/>
      <c r="E59" s="24"/>
      <c r="F59" s="24"/>
      <c r="G59" s="24"/>
      <c r="H59" s="24"/>
      <c r="I59" s="24"/>
      <c r="J59" s="24"/>
      <c r="K59" s="24"/>
      <c r="L59" s="24"/>
    </row>
    <row r="60" spans="3:13" ht="15.75">
      <c r="C60" s="25"/>
      <c r="D60" s="24"/>
      <c r="E60" s="24"/>
      <c r="F60" s="24"/>
      <c r="G60" s="24"/>
      <c r="H60" s="24"/>
      <c r="I60" s="24"/>
      <c r="J60" s="24"/>
      <c r="K60" s="24"/>
      <c r="L60" s="24"/>
    </row>
    <row r="61" spans="3:13" ht="15.75" customHeight="1">
      <c r="C61" s="25"/>
      <c r="D61" s="24"/>
      <c r="E61" s="24"/>
      <c r="F61" s="24"/>
      <c r="G61" s="24"/>
      <c r="H61" s="24"/>
      <c r="I61" s="24"/>
      <c r="J61" s="24"/>
      <c r="K61" s="24"/>
      <c r="L61" s="24"/>
    </row>
    <row r="62" spans="3:13" ht="15.75" customHeight="1">
      <c r="C62" s="25"/>
      <c r="D62" s="24"/>
      <c r="E62" s="24"/>
      <c r="F62" s="24"/>
      <c r="G62" s="24"/>
      <c r="H62" s="24"/>
      <c r="I62" s="24"/>
      <c r="J62" s="24"/>
      <c r="K62" s="24"/>
      <c r="L62" s="24"/>
    </row>
    <row r="63" spans="3:13" ht="15.75" customHeight="1">
      <c r="C63" s="25"/>
      <c r="D63" s="24"/>
      <c r="E63" s="24"/>
      <c r="F63" s="24"/>
      <c r="G63" s="24"/>
      <c r="H63" s="24"/>
      <c r="I63" s="24"/>
      <c r="J63" s="24"/>
      <c r="K63" s="24"/>
      <c r="L63" s="24"/>
    </row>
    <row r="64" spans="3:13" ht="15.75" customHeight="1">
      <c r="C64" s="25"/>
      <c r="D64" s="24"/>
      <c r="E64" s="24"/>
      <c r="F64" s="24"/>
      <c r="G64" s="24"/>
      <c r="H64" s="24"/>
      <c r="I64" s="24"/>
      <c r="J64" s="24"/>
      <c r="K64" s="24"/>
      <c r="L64" s="24"/>
    </row>
    <row r="65" spans="3:12" ht="15.75" customHeight="1">
      <c r="C65" s="25"/>
      <c r="D65" s="24"/>
      <c r="E65" s="24"/>
      <c r="F65" s="24"/>
      <c r="G65" s="24"/>
      <c r="H65" s="24"/>
      <c r="I65" s="24"/>
      <c r="J65" s="24"/>
      <c r="K65" s="24"/>
      <c r="L65" s="24"/>
    </row>
    <row r="66" spans="3:12" ht="15.75" customHeight="1">
      <c r="C66" s="25"/>
      <c r="D66" s="24"/>
      <c r="E66" s="24"/>
      <c r="F66" s="24"/>
      <c r="G66" s="24"/>
      <c r="H66" s="24"/>
      <c r="I66" s="24"/>
      <c r="J66" s="24"/>
      <c r="K66" s="24"/>
      <c r="L66" s="24"/>
    </row>
    <row r="67" spans="3:12" ht="15.75" customHeight="1">
      <c r="C67" s="25"/>
      <c r="D67" s="24"/>
      <c r="E67" s="24"/>
      <c r="F67" s="24"/>
      <c r="G67" s="24"/>
      <c r="H67" s="24"/>
      <c r="I67" s="24"/>
      <c r="J67" s="24"/>
      <c r="K67" s="24"/>
      <c r="L67" s="24"/>
    </row>
    <row r="68" spans="3:12" ht="16.5" customHeight="1">
      <c r="C68" s="25"/>
      <c r="D68" s="24"/>
      <c r="E68" s="24"/>
      <c r="F68" s="24"/>
      <c r="G68" s="24"/>
      <c r="H68" s="24"/>
      <c r="I68" s="24"/>
      <c r="J68" s="24"/>
      <c r="K68" s="24"/>
      <c r="L68" s="24"/>
    </row>
    <row r="69" spans="3:12" ht="15.75">
      <c r="C69" s="25"/>
      <c r="D69" s="24"/>
      <c r="E69" s="24"/>
      <c r="F69" s="24"/>
      <c r="G69" s="24"/>
      <c r="H69" s="24"/>
      <c r="I69" s="24"/>
      <c r="J69" s="24"/>
      <c r="K69" s="24"/>
      <c r="L69" s="24"/>
    </row>
    <row r="70" spans="3:12" ht="15.75">
      <c r="C70" s="25"/>
      <c r="D70" s="24"/>
      <c r="E70" s="24"/>
      <c r="F70" s="24"/>
      <c r="G70" s="24"/>
      <c r="H70" s="24"/>
      <c r="I70" s="24"/>
      <c r="J70" s="24"/>
      <c r="K70" s="24"/>
      <c r="L70" s="24"/>
    </row>
    <row r="71" spans="3:12" ht="15.75">
      <c r="C71" s="25"/>
      <c r="D71" s="24"/>
      <c r="E71" s="24"/>
      <c r="F71" s="24"/>
      <c r="G71" s="24"/>
      <c r="H71" s="24"/>
      <c r="I71" s="24"/>
      <c r="J71" s="24"/>
      <c r="K71" s="24"/>
      <c r="L71" s="24"/>
    </row>
    <row r="72" spans="3:12" ht="15.75">
      <c r="C72" s="25"/>
      <c r="D72" s="24"/>
      <c r="E72" s="24"/>
      <c r="F72" s="24"/>
      <c r="G72" s="24"/>
      <c r="H72" s="24"/>
      <c r="I72" s="24"/>
      <c r="J72" s="24"/>
      <c r="K72" s="24"/>
      <c r="L72" s="24"/>
    </row>
    <row r="73" spans="3:12" ht="15.75">
      <c r="C73" s="25"/>
      <c r="D73" s="24"/>
      <c r="E73" s="24"/>
      <c r="F73" s="24"/>
      <c r="G73" s="24"/>
      <c r="H73" s="24"/>
      <c r="I73" s="24"/>
      <c r="J73" s="24"/>
      <c r="K73" s="24"/>
      <c r="L73" s="24"/>
    </row>
    <row r="74" spans="3:12" ht="15.75">
      <c r="C74" s="25"/>
      <c r="D74" s="24"/>
      <c r="E74" s="24"/>
      <c r="F74" s="24"/>
      <c r="G74" s="24"/>
      <c r="H74" s="24"/>
      <c r="I74" s="24"/>
      <c r="J74" s="24"/>
      <c r="K74" s="24"/>
      <c r="L74" s="24"/>
    </row>
    <row r="75" spans="3:12" ht="15.75">
      <c r="C75" s="25"/>
      <c r="D75" s="24"/>
      <c r="E75" s="24"/>
      <c r="F75" s="24"/>
      <c r="G75" s="24"/>
      <c r="H75" s="24"/>
      <c r="I75" s="24"/>
      <c r="J75" s="24"/>
      <c r="K75" s="24"/>
      <c r="L75" s="24"/>
    </row>
    <row r="76" spans="3:12" ht="15.75">
      <c r="C76" s="25"/>
      <c r="D76" s="24"/>
      <c r="E76" s="24"/>
      <c r="F76" s="24"/>
      <c r="G76" s="24"/>
      <c r="H76" s="24"/>
      <c r="I76" s="24"/>
      <c r="J76" s="24"/>
      <c r="K76" s="24"/>
      <c r="L76" s="24"/>
    </row>
    <row r="77" spans="3:12" ht="15.75">
      <c r="C77" s="25"/>
      <c r="D77" s="24"/>
      <c r="E77" s="24"/>
      <c r="F77" s="24"/>
      <c r="G77" s="24"/>
      <c r="H77" s="24"/>
      <c r="I77" s="24"/>
      <c r="J77" s="24"/>
      <c r="K77" s="24"/>
      <c r="L77" s="24"/>
    </row>
    <row r="78" spans="3:12" ht="15.75">
      <c r="C78" s="25"/>
      <c r="D78" s="24"/>
      <c r="E78" s="24"/>
      <c r="F78" s="24"/>
      <c r="G78" s="24"/>
      <c r="H78" s="24"/>
      <c r="I78" s="24"/>
      <c r="J78" s="24"/>
      <c r="K78" s="24"/>
      <c r="L78" s="24"/>
    </row>
    <row r="79" spans="3:12" ht="15.75">
      <c r="C79" s="25"/>
      <c r="D79" s="24"/>
      <c r="E79" s="24"/>
      <c r="F79" s="24"/>
      <c r="G79" s="24"/>
      <c r="H79" s="24"/>
      <c r="I79" s="24"/>
      <c r="J79" s="24"/>
      <c r="K79" s="24"/>
      <c r="L79" s="24"/>
    </row>
    <row r="80" spans="3:12" ht="15.75">
      <c r="C80" s="25"/>
      <c r="D80" s="24"/>
      <c r="E80" s="24"/>
      <c r="F80" s="24"/>
      <c r="G80" s="24"/>
      <c r="H80" s="24"/>
      <c r="I80" s="24"/>
      <c r="J80" s="24"/>
      <c r="K80" s="24"/>
      <c r="L80" s="24"/>
    </row>
    <row r="81" spans="3:12" ht="15.75">
      <c r="C81" s="25"/>
      <c r="D81" s="24"/>
      <c r="E81" s="24"/>
      <c r="F81" s="24"/>
      <c r="G81" s="24"/>
      <c r="H81" s="24"/>
      <c r="I81" s="24"/>
      <c r="J81" s="24"/>
      <c r="K81" s="24"/>
      <c r="L81" s="24"/>
    </row>
    <row r="82" spans="3:12" ht="15.75">
      <c r="C82" s="25"/>
      <c r="D82" s="24"/>
      <c r="E82" s="24"/>
      <c r="F82" s="24"/>
      <c r="G82" s="24"/>
      <c r="H82" s="24"/>
      <c r="I82" s="24"/>
      <c r="J82" s="24"/>
      <c r="K82" s="24"/>
      <c r="L82" s="24"/>
    </row>
    <row r="83" spans="3:12" ht="15.75">
      <c r="C83" s="25"/>
      <c r="D83" s="24"/>
      <c r="E83" s="24"/>
      <c r="F83" s="24"/>
      <c r="G83" s="24"/>
      <c r="H83" s="24"/>
      <c r="I83" s="24"/>
      <c r="J83" s="24"/>
      <c r="K83" s="24"/>
      <c r="L83" s="24"/>
    </row>
    <row r="84" spans="3:12" ht="15.75">
      <c r="C84" s="25"/>
      <c r="D84" s="24"/>
      <c r="E84" s="24"/>
      <c r="F84" s="24"/>
      <c r="G84" s="24"/>
      <c r="H84" s="24"/>
      <c r="I84" s="24"/>
      <c r="J84" s="24"/>
      <c r="K84" s="24"/>
      <c r="L84" s="24"/>
    </row>
    <row r="85" spans="3:12" ht="15.75">
      <c r="C85" s="25"/>
      <c r="D85" s="24"/>
      <c r="E85" s="24"/>
      <c r="F85" s="24"/>
      <c r="G85" s="24"/>
      <c r="H85" s="24"/>
      <c r="I85" s="24"/>
      <c r="J85" s="24"/>
      <c r="K85" s="24"/>
      <c r="L85" s="24"/>
    </row>
    <row r="86" spans="3:12" ht="15.75">
      <c r="C86" s="25"/>
      <c r="D86" s="24"/>
      <c r="E86" s="24"/>
      <c r="F86" s="24"/>
      <c r="G86" s="24"/>
      <c r="H86" s="24"/>
      <c r="I86" s="24"/>
      <c r="J86" s="24"/>
      <c r="K86" s="24"/>
      <c r="L86" s="24"/>
    </row>
    <row r="87" spans="3:12" ht="15.75">
      <c r="C87" s="25"/>
      <c r="D87" s="24"/>
      <c r="E87" s="24"/>
      <c r="F87" s="24"/>
      <c r="G87" s="24"/>
      <c r="H87" s="24"/>
      <c r="I87" s="24"/>
      <c r="J87" s="24"/>
      <c r="K87" s="24"/>
      <c r="L87" s="24"/>
    </row>
    <row r="88" spans="3:12" ht="15.75">
      <c r="C88" s="25"/>
      <c r="D88" s="24"/>
      <c r="E88" s="24"/>
      <c r="F88" s="24"/>
      <c r="G88" s="24"/>
      <c r="H88" s="24"/>
      <c r="I88" s="24"/>
      <c r="J88" s="24"/>
      <c r="K88" s="24"/>
      <c r="L88" s="24"/>
    </row>
    <row r="89" spans="3:12" ht="15.75">
      <c r="C89" s="25"/>
      <c r="D89" s="24"/>
      <c r="E89" s="24"/>
      <c r="F89" s="24"/>
      <c r="G89" s="24"/>
      <c r="H89" s="24"/>
      <c r="I89" s="24"/>
      <c r="J89" s="24"/>
      <c r="K89" s="24"/>
      <c r="L89" s="24"/>
    </row>
    <row r="90" spans="3:12" ht="15.75">
      <c r="C90" s="25"/>
      <c r="D90" s="24"/>
      <c r="E90" s="24"/>
      <c r="F90" s="24"/>
      <c r="G90" s="24"/>
      <c r="H90" s="24"/>
      <c r="I90" s="24"/>
      <c r="J90" s="24"/>
      <c r="K90" s="24"/>
      <c r="L90" s="24"/>
    </row>
    <row r="91" spans="3:12" ht="15.75">
      <c r="C91" s="25"/>
      <c r="D91" s="24"/>
      <c r="E91" s="24"/>
      <c r="F91" s="24"/>
      <c r="G91" s="24"/>
      <c r="H91" s="24"/>
      <c r="I91" s="24"/>
      <c r="J91" s="24"/>
      <c r="K91" s="24"/>
      <c r="L91" s="24"/>
    </row>
    <row r="92" spans="3:12" ht="15.75">
      <c r="C92" s="25"/>
      <c r="D92" s="24"/>
      <c r="E92" s="24"/>
      <c r="F92" s="24"/>
      <c r="G92" s="24"/>
      <c r="H92" s="24"/>
      <c r="I92" s="24"/>
      <c r="J92" s="24"/>
      <c r="K92" s="24"/>
      <c r="L92" s="24"/>
    </row>
    <row r="93" spans="3:12" ht="15.75">
      <c r="C93" s="25"/>
      <c r="D93" s="24"/>
      <c r="E93" s="24"/>
      <c r="F93" s="24"/>
      <c r="G93" s="24"/>
      <c r="H93" s="24"/>
      <c r="I93" s="24"/>
      <c r="J93" s="24"/>
      <c r="K93" s="24"/>
      <c r="L93" s="24"/>
    </row>
    <row r="94" spans="3:12" ht="15.75">
      <c r="C94" s="25"/>
      <c r="D94" s="24"/>
      <c r="E94" s="24"/>
      <c r="F94" s="24"/>
      <c r="G94" s="24"/>
      <c r="H94" s="24"/>
      <c r="I94" s="24"/>
      <c r="J94" s="24"/>
      <c r="K94" s="24"/>
      <c r="L94" s="24"/>
    </row>
    <row r="95" spans="3:12" ht="15.75">
      <c r="C95" s="25"/>
      <c r="D95" s="24"/>
      <c r="E95" s="24"/>
      <c r="F95" s="24"/>
      <c r="G95" s="24"/>
      <c r="H95" s="24"/>
      <c r="I95" s="24"/>
      <c r="J95" s="24"/>
      <c r="K95" s="24"/>
      <c r="L95" s="24"/>
    </row>
    <row r="96" spans="3:12" ht="15.75">
      <c r="C96" s="25"/>
      <c r="D96" s="24"/>
      <c r="E96" s="24"/>
      <c r="F96" s="24"/>
      <c r="G96" s="24"/>
      <c r="H96" s="24"/>
      <c r="I96" s="24"/>
      <c r="J96" s="24"/>
      <c r="K96" s="24"/>
      <c r="L96" s="24"/>
    </row>
    <row r="97" spans="3:12" ht="15.75">
      <c r="C97" s="25"/>
      <c r="D97" s="24"/>
      <c r="E97" s="24"/>
      <c r="F97" s="24"/>
      <c r="G97" s="24"/>
      <c r="H97" s="24"/>
      <c r="I97" s="24"/>
      <c r="J97" s="24"/>
      <c r="K97" s="24"/>
      <c r="L97" s="24"/>
    </row>
    <row r="98" spans="3:12" ht="15.75">
      <c r="C98" s="25"/>
      <c r="D98" s="24"/>
      <c r="E98" s="24"/>
      <c r="F98" s="24"/>
      <c r="G98" s="24"/>
      <c r="H98" s="24"/>
      <c r="I98" s="24"/>
      <c r="J98" s="24"/>
      <c r="K98" s="24"/>
      <c r="L98" s="24"/>
    </row>
    <row r="99" spans="3:12" ht="15.75">
      <c r="C99" s="25"/>
      <c r="D99" s="24"/>
      <c r="E99" s="24"/>
      <c r="F99" s="24"/>
      <c r="G99" s="24"/>
      <c r="H99" s="24"/>
      <c r="I99" s="24"/>
      <c r="J99" s="24"/>
      <c r="K99" s="24"/>
      <c r="L99" s="24"/>
    </row>
    <row r="100" spans="3:12" ht="15.75">
      <c r="C100" s="25"/>
      <c r="D100" s="24"/>
      <c r="E100" s="24"/>
      <c r="F100" s="24"/>
      <c r="G100" s="24"/>
      <c r="H100" s="24"/>
      <c r="I100" s="24"/>
      <c r="J100" s="24"/>
      <c r="K100" s="24"/>
      <c r="L100" s="24"/>
    </row>
    <row r="101" spans="3:12" ht="15.75">
      <c r="C101" s="25"/>
      <c r="D101" s="24"/>
      <c r="E101" s="24"/>
      <c r="F101" s="24"/>
      <c r="G101" s="24"/>
      <c r="H101" s="24"/>
      <c r="I101" s="24"/>
      <c r="J101" s="24"/>
      <c r="K101" s="24"/>
      <c r="L101" s="24"/>
    </row>
    <row r="102" spans="3:12" ht="15.75">
      <c r="C102" s="25"/>
      <c r="D102" s="24"/>
      <c r="E102" s="24"/>
      <c r="F102" s="24"/>
      <c r="G102" s="24"/>
      <c r="H102" s="24"/>
      <c r="I102" s="24"/>
      <c r="J102" s="24"/>
      <c r="K102" s="24"/>
      <c r="L102" s="24"/>
    </row>
    <row r="103" spans="3:12" ht="15.75">
      <c r="C103" s="25"/>
      <c r="D103" s="24"/>
      <c r="E103" s="24"/>
      <c r="F103" s="24"/>
      <c r="G103" s="24"/>
      <c r="H103" s="24"/>
      <c r="I103" s="24"/>
      <c r="J103" s="24"/>
      <c r="K103" s="24"/>
      <c r="L103" s="24"/>
    </row>
  </sheetData>
  <mergeCells count="14">
    <mergeCell ref="C2:L3"/>
    <mergeCell ref="C7:C12"/>
    <mergeCell ref="C13:C18"/>
    <mergeCell ref="C19:C24"/>
    <mergeCell ref="C25:C30"/>
    <mergeCell ref="J6:L6"/>
    <mergeCell ref="D5:F5"/>
    <mergeCell ref="G5:I5"/>
    <mergeCell ref="J5:L5"/>
    <mergeCell ref="C31:C36"/>
    <mergeCell ref="C37:C45"/>
    <mergeCell ref="C46:C55"/>
    <mergeCell ref="D6:F6"/>
    <mergeCell ref="G6:I6"/>
  </mergeCells>
  <pageMargins left="0.78740157480314965" right="0" top="0" bottom="0" header="0" footer="0"/>
  <pageSetup paperSize="9" scale="61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D10:J17"/>
  <sheetViews>
    <sheetView topLeftCell="A3" workbookViewId="0">
      <selection activeCell="E61" sqref="E61"/>
    </sheetView>
  </sheetViews>
  <sheetFormatPr baseColWidth="10" defaultRowHeight="15"/>
  <sheetData>
    <row r="10" spans="4:10">
      <c r="E10" t="s">
        <v>174</v>
      </c>
      <c r="F10" t="s">
        <v>167</v>
      </c>
      <c r="G10" t="s">
        <v>168</v>
      </c>
      <c r="H10" t="s">
        <v>169</v>
      </c>
      <c r="I10" t="s">
        <v>170</v>
      </c>
      <c r="J10" t="s">
        <v>175</v>
      </c>
    </row>
    <row r="11" spans="4:10">
      <c r="E11">
        <f>PI()/3</f>
        <v>1.0471975511965976</v>
      </c>
      <c r="F11">
        <v>413.07</v>
      </c>
      <c r="G11">
        <v>57.73</v>
      </c>
      <c r="H11">
        <v>6.53</v>
      </c>
      <c r="I11">
        <v>300</v>
      </c>
      <c r="J11">
        <v>200</v>
      </c>
    </row>
    <row r="15" spans="4:10">
      <c r="D15" t="s">
        <v>171</v>
      </c>
      <c r="E15">
        <f>F11*SIN(E11)-I11-G11</f>
        <v>-8.8645876193282902E-4</v>
      </c>
    </row>
    <row r="16" spans="4:10">
      <c r="D16" t="s">
        <v>172</v>
      </c>
      <c r="E16">
        <f>(F11*COS(E11))-H11-J11</f>
        <v>5.0000000000522959E-3</v>
      </c>
    </row>
    <row r="17" spans="4:5">
      <c r="D17" t="s">
        <v>173</v>
      </c>
      <c r="E17">
        <f>(J11*2*COS(E11))+(I11*4*SIN(E11))-(F11*3)</f>
        <v>2.0484541326368344E-2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43</vt:i4>
      </vt:variant>
    </vt:vector>
  </HeadingPairs>
  <TitlesOfParts>
    <vt:vector size="51" baseType="lpstr">
      <vt:lpstr>2 Licence</vt:lpstr>
      <vt:lpstr>Global</vt:lpstr>
      <vt:lpstr>3 Licence</vt:lpstr>
      <vt:lpstr>Maset I</vt:lpstr>
      <vt:lpstr>Enseignant</vt:lpstr>
      <vt:lpstr>Feuil3</vt:lpstr>
      <vt:lpstr>برنامج مراجعة الاوراق</vt:lpstr>
      <vt:lpstr>Feuil1</vt:lpstr>
      <vt:lpstr>Dimanche_11h00</vt:lpstr>
      <vt:lpstr>Dimanche_13h00</vt:lpstr>
      <vt:lpstr>Dimanche_14h30</vt:lpstr>
      <vt:lpstr>Dimanche_8h30</vt:lpstr>
      <vt:lpstr>Jeudi_11h00</vt:lpstr>
      <vt:lpstr>Jeudi_13h00</vt:lpstr>
      <vt:lpstr>Jeudi_14h30</vt:lpstr>
      <vt:lpstr>Jeudi_8h30</vt:lpstr>
      <vt:lpstr>Liste_enseignants</vt:lpstr>
      <vt:lpstr>Lundi_11h00</vt:lpstr>
      <vt:lpstr>Lundi_13h00</vt:lpstr>
      <vt:lpstr>Lundi_14h30</vt:lpstr>
      <vt:lpstr>Lundi_8h30</vt:lpstr>
      <vt:lpstr>Mardi_1_11h00</vt:lpstr>
      <vt:lpstr>Mardi_1_13h00</vt:lpstr>
      <vt:lpstr>Mardi_1_14h30</vt:lpstr>
      <vt:lpstr>Mardi_1_8h30</vt:lpstr>
      <vt:lpstr>Mardi_2_11h00</vt:lpstr>
      <vt:lpstr>Mardi_2_13h00</vt:lpstr>
      <vt:lpstr>Mardi_2_14h30</vt:lpstr>
      <vt:lpstr>Mardi_2_8h30</vt:lpstr>
      <vt:lpstr>Mercredi_1_11h00</vt:lpstr>
      <vt:lpstr>Mercredi_1_13h00</vt:lpstr>
      <vt:lpstr>Mercredi_1_14h30</vt:lpstr>
      <vt:lpstr>Mercredi_1_8h30</vt:lpstr>
      <vt:lpstr>Mercredi_2_11h00</vt:lpstr>
      <vt:lpstr>Mercredi_2_13h00</vt:lpstr>
      <vt:lpstr>Mercredi_2_14h30</vt:lpstr>
      <vt:lpstr>Mercredi_2_8h30</vt:lpstr>
      <vt:lpstr>Nombre_surveillance</vt:lpstr>
      <vt:lpstr>Samedi_11h00</vt:lpstr>
      <vt:lpstr>Samedi_13h00</vt:lpstr>
      <vt:lpstr>Samedi_14h30</vt:lpstr>
      <vt:lpstr>Samedi_8h30</vt:lpstr>
      <vt:lpstr>Zone_1</vt:lpstr>
      <vt:lpstr>Zone_2</vt:lpstr>
      <vt:lpstr>Zone_3</vt:lpstr>
      <vt:lpstr>Zone_4</vt:lpstr>
      <vt:lpstr>'2 Licence'!Zone_d_impression</vt:lpstr>
      <vt:lpstr>'3 Licence'!Zone_d_impression</vt:lpstr>
      <vt:lpstr>Enseignant!Zone_d_impression</vt:lpstr>
      <vt:lpstr>'Maset I'!Zone_d_impression</vt:lpstr>
      <vt:lpstr>Zone1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SALAH</cp:lastModifiedBy>
  <cp:lastPrinted>2024-05-07T10:55:15Z</cp:lastPrinted>
  <dcterms:created xsi:type="dcterms:W3CDTF">2022-12-12T13:38:16Z</dcterms:created>
  <dcterms:modified xsi:type="dcterms:W3CDTF">2024-05-07T11:06:46Z</dcterms:modified>
</cp:coreProperties>
</file>